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ocuments\TEKUCA I UCENICKA dokument\UREDSKO POSLOVANJE\Urudzbiranje 2023\Dokumenti za urudzbiranje\"/>
    </mc:Choice>
  </mc:AlternateContent>
  <xr:revisionPtr revIDLastSave="0" documentId="13_ncr:1_{2A55D1AC-C453-4BC9-A37A-7253F29D089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OSEBNI DIO 2R" sheetId="2" r:id="rId6"/>
  </sheets>
  <definedNames>
    <definedName name="_xlnm.Print_Area" localSheetId="1">' Račun prihoda i rashoda'!$A$1:$I$250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M8" i="1"/>
  <c r="K8" i="1"/>
  <c r="H116" i="3"/>
  <c r="I116" i="3"/>
  <c r="G116" i="3"/>
  <c r="G114" i="3"/>
  <c r="G113" i="3" s="1"/>
  <c r="H114" i="3"/>
  <c r="H113" i="3" s="1"/>
  <c r="I114" i="3"/>
  <c r="I113" i="3" s="1"/>
  <c r="F114" i="3"/>
  <c r="F113" i="3"/>
  <c r="E10" i="5" l="1"/>
  <c r="F10" i="5"/>
  <c r="D10" i="5"/>
  <c r="J212" i="2" l="1"/>
  <c r="J211" i="2" s="1"/>
  <c r="I212" i="2"/>
  <c r="I211" i="2" s="1"/>
  <c r="H212" i="2"/>
  <c r="H211" i="2" s="1"/>
  <c r="G211" i="2"/>
  <c r="J207" i="2"/>
  <c r="J206" i="2" s="1"/>
  <c r="I207" i="2"/>
  <c r="I206" i="2" s="1"/>
  <c r="H207" i="2"/>
  <c r="H206" i="2" s="1"/>
  <c r="G206" i="2"/>
  <c r="G59" i="3"/>
  <c r="F61" i="3"/>
  <c r="I249" i="3"/>
  <c r="I248" i="3" s="1"/>
  <c r="I241" i="3" s="1"/>
  <c r="H249" i="3"/>
  <c r="H248" i="3" s="1"/>
  <c r="H241" i="3" s="1"/>
  <c r="G249" i="3"/>
  <c r="G248" i="3" s="1"/>
  <c r="F248" i="3"/>
  <c r="I243" i="3"/>
  <c r="H243" i="3"/>
  <c r="G243" i="3"/>
  <c r="H11" i="7"/>
  <c r="I11" i="7"/>
  <c r="G11" i="7"/>
  <c r="H46" i="7"/>
  <c r="I46" i="7"/>
  <c r="G203" i="7"/>
  <c r="G202" i="7" s="1"/>
  <c r="H203" i="7"/>
  <c r="H202" i="7" s="1"/>
  <c r="I203" i="7"/>
  <c r="I202" i="7" s="1"/>
  <c r="F202" i="7"/>
  <c r="I198" i="7"/>
  <c r="I197" i="7" s="1"/>
  <c r="H198" i="7"/>
  <c r="H197" i="7" s="1"/>
  <c r="G198" i="7"/>
  <c r="G197" i="7" s="1"/>
  <c r="F197" i="7"/>
  <c r="H195" i="7" l="1"/>
  <c r="G241" i="3"/>
  <c r="G195" i="7"/>
  <c r="H204" i="2"/>
  <c r="H14" i="2" s="1"/>
  <c r="J204" i="2"/>
  <c r="I204" i="2"/>
  <c r="I195" i="7"/>
  <c r="G26" i="7"/>
  <c r="H87" i="2"/>
  <c r="H85" i="2"/>
  <c r="I11" i="2"/>
  <c r="J11" i="2"/>
  <c r="H11" i="2"/>
  <c r="H196" i="2"/>
  <c r="H148" i="2"/>
  <c r="H198" i="2"/>
  <c r="I198" i="2"/>
  <c r="I14" i="2" l="1"/>
  <c r="J14" i="2"/>
  <c r="H191" i="2"/>
  <c r="H190" i="2" s="1"/>
  <c r="I121" i="2"/>
  <c r="J121" i="2"/>
  <c r="H121" i="2"/>
  <c r="H115" i="2"/>
  <c r="G115" i="2"/>
  <c r="H7" i="2" l="1"/>
  <c r="G11" i="3"/>
  <c r="F29" i="3"/>
  <c r="I29" i="3"/>
  <c r="H29" i="3"/>
  <c r="G29" i="3"/>
  <c r="E29" i="3"/>
  <c r="H58" i="3"/>
  <c r="I58" i="3"/>
  <c r="G58" i="3"/>
  <c r="I228" i="3"/>
  <c r="I55" i="3" s="1"/>
  <c r="H228" i="3"/>
  <c r="H55" i="3" s="1"/>
  <c r="G228" i="3"/>
  <c r="G55" i="3" s="1"/>
  <c r="G39" i="3"/>
  <c r="H39" i="3"/>
  <c r="I39" i="3"/>
  <c r="G112" i="3"/>
  <c r="I120" i="3"/>
  <c r="H120" i="3"/>
  <c r="G120" i="3"/>
  <c r="F120" i="3"/>
  <c r="E120" i="3"/>
  <c r="G34" i="3"/>
  <c r="H34" i="3"/>
  <c r="I34" i="3"/>
  <c r="I182" i="7" l="1"/>
  <c r="I181" i="7" s="1"/>
  <c r="H182" i="7"/>
  <c r="H181" i="7" s="1"/>
  <c r="G182" i="7"/>
  <c r="G181" i="7" s="1"/>
  <c r="G7" i="7" s="1"/>
  <c r="F181" i="7"/>
  <c r="H10" i="7"/>
  <c r="I10" i="7"/>
  <c r="G9" i="7"/>
  <c r="G10" i="7"/>
  <c r="I69" i="7"/>
  <c r="H69" i="7"/>
  <c r="G69" i="7"/>
  <c r="F69" i="7"/>
  <c r="E69" i="7"/>
  <c r="J190" i="2"/>
  <c r="J7" i="2" s="1"/>
  <c r="I191" i="2"/>
  <c r="I190" i="2" s="1"/>
  <c r="I7" i="2" s="1"/>
  <c r="J191" i="2"/>
  <c r="G190" i="2"/>
  <c r="I10" i="2"/>
  <c r="J10" i="2"/>
  <c r="H10" i="2"/>
  <c r="I71" i="2"/>
  <c r="J71" i="2"/>
  <c r="H71" i="2"/>
  <c r="G71" i="2"/>
  <c r="F71" i="2"/>
  <c r="H7" i="7" l="1"/>
  <c r="I7" i="7"/>
  <c r="G13" i="2"/>
  <c r="F84" i="7" l="1"/>
  <c r="G22" i="3"/>
  <c r="F133" i="3"/>
  <c r="F132" i="3" s="1"/>
  <c r="I239" i="3" l="1"/>
  <c r="H239" i="3"/>
  <c r="G239" i="3"/>
  <c r="I237" i="3"/>
  <c r="H237" i="3"/>
  <c r="G237" i="3"/>
  <c r="I236" i="3"/>
  <c r="H236" i="3"/>
  <c r="G236" i="3"/>
  <c r="I235" i="3"/>
  <c r="H235" i="3"/>
  <c r="G235" i="3"/>
  <c r="F233" i="3"/>
  <c r="E223" i="3"/>
  <c r="E222" i="3"/>
  <c r="E221" i="3"/>
  <c r="E220" i="3"/>
  <c r="F215" i="3"/>
  <c r="E215" i="3"/>
  <c r="F214" i="3"/>
  <c r="E214" i="3"/>
  <c r="F213" i="3"/>
  <c r="E213" i="3"/>
  <c r="F206" i="3"/>
  <c r="E206" i="3"/>
  <c r="F205" i="3"/>
  <c r="F204" i="3"/>
  <c r="E204" i="3"/>
  <c r="F203" i="3"/>
  <c r="E203" i="3"/>
  <c r="F202" i="3"/>
  <c r="E202" i="3"/>
  <c r="F197" i="3"/>
  <c r="E197" i="3"/>
  <c r="F196" i="3"/>
  <c r="E196" i="3"/>
  <c r="F195" i="3"/>
  <c r="E195" i="3"/>
  <c r="F194" i="3"/>
  <c r="E194" i="3"/>
  <c r="I188" i="3"/>
  <c r="H188" i="3"/>
  <c r="G188" i="3"/>
  <c r="F188" i="3"/>
  <c r="E188" i="3"/>
  <c r="I182" i="3"/>
  <c r="I181" i="3" s="1"/>
  <c r="I180" i="3" s="1"/>
  <c r="I179" i="3" s="1"/>
  <c r="H182" i="3"/>
  <c r="H181" i="3" s="1"/>
  <c r="H180" i="3" s="1"/>
  <c r="H179" i="3" s="1"/>
  <c r="G182" i="3"/>
  <c r="G181" i="3" s="1"/>
  <c r="G180" i="3" s="1"/>
  <c r="G179" i="3" s="1"/>
  <c r="F182" i="3"/>
  <c r="F181" i="3" s="1"/>
  <c r="F180" i="3" s="1"/>
  <c r="F179" i="3" s="1"/>
  <c r="E181" i="3"/>
  <c r="E180" i="3" s="1"/>
  <c r="E179" i="3" s="1"/>
  <c r="I171" i="3"/>
  <c r="I169" i="3" s="1"/>
  <c r="H171" i="3"/>
  <c r="H170" i="3" s="1"/>
  <c r="G171" i="3"/>
  <c r="G170" i="3" s="1"/>
  <c r="F171" i="3"/>
  <c r="F169" i="3" s="1"/>
  <c r="E171" i="3"/>
  <c r="E169" i="3" s="1"/>
  <c r="I168" i="3"/>
  <c r="H168" i="3"/>
  <c r="G168" i="3"/>
  <c r="F168" i="3"/>
  <c r="I167" i="3"/>
  <c r="H167" i="3"/>
  <c r="G167" i="3"/>
  <c r="F167" i="3"/>
  <c r="I165" i="3"/>
  <c r="H165" i="3"/>
  <c r="G165" i="3"/>
  <c r="F165" i="3"/>
  <c r="E164" i="3"/>
  <c r="I163" i="3"/>
  <c r="I63" i="3" s="1"/>
  <c r="H163" i="3"/>
  <c r="H63" i="3" s="1"/>
  <c r="G163" i="3"/>
  <c r="G63" i="3" s="1"/>
  <c r="F163" i="3"/>
  <c r="F63" i="3" s="1"/>
  <c r="E163" i="3"/>
  <c r="E63" i="3" s="1"/>
  <c r="E162" i="3"/>
  <c r="I161" i="3"/>
  <c r="H161" i="3"/>
  <c r="G161" i="3"/>
  <c r="F161" i="3"/>
  <c r="I160" i="3"/>
  <c r="H160" i="3"/>
  <c r="G160" i="3"/>
  <c r="F160" i="3"/>
  <c r="E160" i="3"/>
  <c r="I159" i="3"/>
  <c r="H159" i="3"/>
  <c r="G159" i="3"/>
  <c r="F159" i="3"/>
  <c r="E159" i="3"/>
  <c r="I158" i="3"/>
  <c r="H158" i="3"/>
  <c r="G158" i="3"/>
  <c r="F158" i="3"/>
  <c r="E156" i="3"/>
  <c r="E155" i="3"/>
  <c r="I154" i="3"/>
  <c r="H154" i="3"/>
  <c r="G154" i="3"/>
  <c r="F154" i="3"/>
  <c r="E154" i="3"/>
  <c r="I153" i="3"/>
  <c r="H153" i="3"/>
  <c r="G153" i="3"/>
  <c r="F153" i="3"/>
  <c r="E153" i="3"/>
  <c r="E60" i="3" s="1"/>
  <c r="I152" i="3"/>
  <c r="H152" i="3"/>
  <c r="G152" i="3"/>
  <c r="F152" i="3"/>
  <c r="I150" i="3"/>
  <c r="I148" i="3" s="1"/>
  <c r="H150" i="3"/>
  <c r="H148" i="3" s="1"/>
  <c r="G150" i="3"/>
  <c r="F150" i="3"/>
  <c r="F149" i="3"/>
  <c r="E149" i="3"/>
  <c r="E148" i="3" s="1"/>
  <c r="I143" i="3"/>
  <c r="I142" i="3" s="1"/>
  <c r="H143" i="3"/>
  <c r="H142" i="3" s="1"/>
  <c r="G143" i="3"/>
  <c r="G142" i="3" s="1"/>
  <c r="F143" i="3"/>
  <c r="E143" i="3"/>
  <c r="E142" i="3" s="1"/>
  <c r="I141" i="3"/>
  <c r="I140" i="3" s="1"/>
  <c r="H141" i="3"/>
  <c r="H140" i="3" s="1"/>
  <c r="G141" i="3"/>
  <c r="G140" i="3" s="1"/>
  <c r="F141" i="3"/>
  <c r="F140" i="3" s="1"/>
  <c r="E140" i="3"/>
  <c r="I139" i="3"/>
  <c r="I138" i="3" s="1"/>
  <c r="H139" i="3"/>
  <c r="H138" i="3" s="1"/>
  <c r="G139" i="3"/>
  <c r="G138" i="3" s="1"/>
  <c r="G137" i="3" s="1"/>
  <c r="G136" i="3" s="1"/>
  <c r="F139" i="3"/>
  <c r="E139" i="3"/>
  <c r="E138" i="3" s="1"/>
  <c r="I135" i="3"/>
  <c r="I134" i="3" s="1"/>
  <c r="H135" i="3"/>
  <c r="H134" i="3" s="1"/>
  <c r="G135" i="3"/>
  <c r="G134" i="3" s="1"/>
  <c r="F135" i="3"/>
  <c r="F134" i="3" s="1"/>
  <c r="E135" i="3"/>
  <c r="E134" i="3" s="1"/>
  <c r="I133" i="3"/>
  <c r="I132" i="3" s="1"/>
  <c r="H133" i="3"/>
  <c r="H132" i="3" s="1"/>
  <c r="G133" i="3"/>
  <c r="G132" i="3" s="1"/>
  <c r="E133" i="3"/>
  <c r="E132" i="3" s="1"/>
  <c r="I131" i="3"/>
  <c r="I130" i="3" s="1"/>
  <c r="H131" i="3"/>
  <c r="H130" i="3" s="1"/>
  <c r="G131" i="3"/>
  <c r="G130" i="3" s="1"/>
  <c r="G129" i="3" s="1"/>
  <c r="F131" i="3"/>
  <c r="F130" i="3" s="1"/>
  <c r="E131" i="3"/>
  <c r="E130" i="3" s="1"/>
  <c r="E115" i="3"/>
  <c r="E114" i="3" s="1"/>
  <c r="E113" i="3" s="1"/>
  <c r="E103" i="3" s="1"/>
  <c r="I103" i="3"/>
  <c r="H103" i="3"/>
  <c r="G103" i="3"/>
  <c r="F103" i="3"/>
  <c r="E109" i="3"/>
  <c r="I99" i="3"/>
  <c r="H99" i="3"/>
  <c r="G99" i="3"/>
  <c r="F99" i="3"/>
  <c r="E99" i="3"/>
  <c r="I94" i="3"/>
  <c r="H94" i="3"/>
  <c r="F94" i="3"/>
  <c r="E94" i="3"/>
  <c r="I89" i="3"/>
  <c r="H89" i="3"/>
  <c r="G89" i="3"/>
  <c r="F89" i="3"/>
  <c r="E89" i="3"/>
  <c r="I80" i="3"/>
  <c r="H80" i="3"/>
  <c r="G80" i="3"/>
  <c r="F80" i="3"/>
  <c r="E80" i="3"/>
  <c r="I74" i="3"/>
  <c r="H74" i="3"/>
  <c r="G74" i="3"/>
  <c r="F74" i="3"/>
  <c r="E74" i="3"/>
  <c r="I71" i="3"/>
  <c r="H71" i="3"/>
  <c r="G71" i="3"/>
  <c r="F71" i="3"/>
  <c r="E71" i="3"/>
  <c r="I57" i="3"/>
  <c r="H57" i="3"/>
  <c r="G57" i="3"/>
  <c r="J203" i="2"/>
  <c r="J200" i="2" s="1"/>
  <c r="I203" i="2"/>
  <c r="I200" i="2" s="1"/>
  <c r="H203" i="2"/>
  <c r="H200" i="2" s="1"/>
  <c r="J198" i="2"/>
  <c r="J197" i="2"/>
  <c r="I197" i="2"/>
  <c r="H197" i="2"/>
  <c r="H195" i="2" s="1"/>
  <c r="H194" i="2" s="1"/>
  <c r="H188" i="2" s="1"/>
  <c r="J196" i="2"/>
  <c r="J195" i="2" s="1"/>
  <c r="I196" i="2"/>
  <c r="I195" i="2" s="1"/>
  <c r="J194" i="2"/>
  <c r="J188" i="2" s="1"/>
  <c r="J185" i="2" s="1"/>
  <c r="G194" i="2"/>
  <c r="F182" i="2"/>
  <c r="F181" i="2"/>
  <c r="F180" i="2"/>
  <c r="F179" i="2"/>
  <c r="F178" i="2"/>
  <c r="G174" i="2"/>
  <c r="F174" i="2"/>
  <c r="F171" i="2" s="1"/>
  <c r="F170" i="2" s="1"/>
  <c r="F9" i="2" s="1"/>
  <c r="G173" i="2"/>
  <c r="G171" i="2" s="1"/>
  <c r="G170" i="2" s="1"/>
  <c r="G9" i="2" s="1"/>
  <c r="F173" i="2"/>
  <c r="G172" i="2"/>
  <c r="F172" i="2"/>
  <c r="G165" i="2"/>
  <c r="F165" i="2"/>
  <c r="G164" i="2"/>
  <c r="G163" i="2"/>
  <c r="F163" i="2"/>
  <c r="G162" i="2"/>
  <c r="F162" i="2"/>
  <c r="G161" i="2"/>
  <c r="F161" i="2"/>
  <c r="G156" i="2"/>
  <c r="F156" i="2"/>
  <c r="G155" i="2"/>
  <c r="G152" i="2" s="1"/>
  <c r="F155" i="2"/>
  <c r="G154" i="2"/>
  <c r="F154" i="2"/>
  <c r="G153" i="2"/>
  <c r="F153" i="2"/>
  <c r="J147" i="2"/>
  <c r="I147" i="2"/>
  <c r="H147" i="2"/>
  <c r="G147" i="2"/>
  <c r="F147" i="2"/>
  <c r="J136" i="2"/>
  <c r="J135" i="2" s="1"/>
  <c r="J134" i="2" s="1"/>
  <c r="J133" i="2" s="1"/>
  <c r="I136" i="2"/>
  <c r="H136" i="2"/>
  <c r="H135" i="2" s="1"/>
  <c r="H134" i="2" s="1"/>
  <c r="H133" i="2" s="1"/>
  <c r="G136" i="2"/>
  <c r="G135" i="2" s="1"/>
  <c r="G134" i="2" s="1"/>
  <c r="G133" i="2" s="1"/>
  <c r="I135" i="2"/>
  <c r="I134" i="2" s="1"/>
  <c r="I133" i="2" s="1"/>
  <c r="F135" i="2"/>
  <c r="F134" i="2" s="1"/>
  <c r="F133" i="2" s="1"/>
  <c r="J127" i="2"/>
  <c r="J126" i="2" s="1"/>
  <c r="I127" i="2"/>
  <c r="I126" i="2" s="1"/>
  <c r="H127" i="2"/>
  <c r="H125" i="2" s="1"/>
  <c r="G127" i="2"/>
  <c r="G126" i="2" s="1"/>
  <c r="F127" i="2"/>
  <c r="F125" i="2" s="1"/>
  <c r="H126" i="2"/>
  <c r="G125" i="2"/>
  <c r="J120" i="2"/>
  <c r="I120" i="2"/>
  <c r="H120" i="2"/>
  <c r="G120" i="2"/>
  <c r="J119" i="2"/>
  <c r="I119" i="2"/>
  <c r="H119" i="2"/>
  <c r="G119" i="2"/>
  <c r="J117" i="2"/>
  <c r="I117" i="2"/>
  <c r="H117" i="2"/>
  <c r="G117" i="2"/>
  <c r="F116" i="2"/>
  <c r="J115" i="2"/>
  <c r="J15" i="2" s="1"/>
  <c r="I115" i="2"/>
  <c r="I15" i="2" s="1"/>
  <c r="H15" i="2"/>
  <c r="F115" i="2"/>
  <c r="F15" i="2" s="1"/>
  <c r="F114" i="2"/>
  <c r="J113" i="2"/>
  <c r="I113" i="2"/>
  <c r="H113" i="2"/>
  <c r="G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08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J103" i="2" s="1"/>
  <c r="I104" i="2"/>
  <c r="H104" i="2"/>
  <c r="G104" i="2"/>
  <c r="J102" i="2"/>
  <c r="J100" i="2" s="1"/>
  <c r="I102" i="2"/>
  <c r="I100" i="2" s="1"/>
  <c r="H102" i="2"/>
  <c r="G102" i="2"/>
  <c r="G101" i="2"/>
  <c r="F101" i="2"/>
  <c r="F100" i="2" s="1"/>
  <c r="J95" i="2"/>
  <c r="J94" i="2" s="1"/>
  <c r="I95" i="2"/>
  <c r="I94" i="2" s="1"/>
  <c r="H95" i="2"/>
  <c r="H94" i="2" s="1"/>
  <c r="G95" i="2"/>
  <c r="F95" i="2"/>
  <c r="F94" i="2" s="1"/>
  <c r="J93" i="2"/>
  <c r="J92" i="2" s="1"/>
  <c r="I93" i="2"/>
  <c r="H93" i="2"/>
  <c r="H92" i="2" s="1"/>
  <c r="G93" i="2"/>
  <c r="G92" i="2" s="1"/>
  <c r="I92" i="2"/>
  <c r="F92" i="2"/>
  <c r="J91" i="2"/>
  <c r="J90" i="2" s="1"/>
  <c r="I91" i="2"/>
  <c r="I90" i="2" s="1"/>
  <c r="H91" i="2"/>
  <c r="H90" i="2" s="1"/>
  <c r="G91" i="2"/>
  <c r="F91" i="2"/>
  <c r="F90" i="2" s="1"/>
  <c r="J87" i="2"/>
  <c r="J86" i="2" s="1"/>
  <c r="I87" i="2"/>
  <c r="I86" i="2" s="1"/>
  <c r="H86" i="2"/>
  <c r="G87" i="2"/>
  <c r="G86" i="2" s="1"/>
  <c r="F87" i="2"/>
  <c r="F86" i="2" s="1"/>
  <c r="J85" i="2"/>
  <c r="J84" i="2" s="1"/>
  <c r="I85" i="2"/>
  <c r="I84" i="2" s="1"/>
  <c r="H84" i="2"/>
  <c r="G85" i="2"/>
  <c r="G84" i="2" s="1"/>
  <c r="F85" i="2"/>
  <c r="F84" i="2" s="1"/>
  <c r="J83" i="2"/>
  <c r="J82" i="2" s="1"/>
  <c r="I83" i="2"/>
  <c r="I82" i="2" s="1"/>
  <c r="H83" i="2"/>
  <c r="H82" i="2" s="1"/>
  <c r="G83" i="2"/>
  <c r="F83" i="2"/>
  <c r="F82" i="2" s="1"/>
  <c r="G82" i="2"/>
  <c r="F67" i="2"/>
  <c r="F66" i="2" s="1"/>
  <c r="F65" i="2" s="1"/>
  <c r="F55" i="2" s="1"/>
  <c r="J66" i="2"/>
  <c r="J65" i="2" s="1"/>
  <c r="J55" i="2" s="1"/>
  <c r="I66" i="2"/>
  <c r="I65" i="2" s="1"/>
  <c r="I55" i="2" s="1"/>
  <c r="H66" i="2"/>
  <c r="H65" i="2" s="1"/>
  <c r="H55" i="2" s="1"/>
  <c r="G66" i="2"/>
  <c r="G65" i="2" s="1"/>
  <c r="G55" i="2" s="1"/>
  <c r="F61" i="2"/>
  <c r="J51" i="2"/>
  <c r="I51" i="2"/>
  <c r="H51" i="2"/>
  <c r="G51" i="2"/>
  <c r="F51" i="2"/>
  <c r="J46" i="2"/>
  <c r="I46" i="2"/>
  <c r="H46" i="2"/>
  <c r="G46" i="2"/>
  <c r="F46" i="2"/>
  <c r="J41" i="2"/>
  <c r="I41" i="2"/>
  <c r="H41" i="2"/>
  <c r="G41" i="2"/>
  <c r="F41" i="2"/>
  <c r="J32" i="2"/>
  <c r="I32" i="2"/>
  <c r="H32" i="2"/>
  <c r="G32" i="2"/>
  <c r="F32" i="2"/>
  <c r="J26" i="2"/>
  <c r="I26" i="2"/>
  <c r="H26" i="2"/>
  <c r="G26" i="2"/>
  <c r="F26" i="2"/>
  <c r="J23" i="2"/>
  <c r="I23" i="2"/>
  <c r="H23" i="2"/>
  <c r="G23" i="2"/>
  <c r="F23" i="2"/>
  <c r="G15" i="2"/>
  <c r="J12" i="2"/>
  <c r="G12" i="2"/>
  <c r="F12" i="2"/>
  <c r="J9" i="2"/>
  <c r="I9" i="2"/>
  <c r="H9" i="2"/>
  <c r="H100" i="2" l="1"/>
  <c r="G125" i="3"/>
  <c r="H81" i="2"/>
  <c r="J98" i="2"/>
  <c r="I103" i="2"/>
  <c r="I98" i="2" s="1"/>
  <c r="I97" i="2" s="1"/>
  <c r="I96" i="2" s="1"/>
  <c r="H185" i="2"/>
  <c r="H142" i="2" s="1"/>
  <c r="F81" i="2"/>
  <c r="F142" i="3"/>
  <c r="F21" i="2"/>
  <c r="F20" i="2" s="1"/>
  <c r="F19" i="2" s="1"/>
  <c r="I81" i="2"/>
  <c r="H89" i="2"/>
  <c r="I194" i="2"/>
  <c r="I188" i="2" s="1"/>
  <c r="I185" i="2" s="1"/>
  <c r="I142" i="2" s="1"/>
  <c r="G69" i="3"/>
  <c r="I125" i="2"/>
  <c r="H12" i="2"/>
  <c r="J142" i="2"/>
  <c r="H56" i="3"/>
  <c r="F59" i="3"/>
  <c r="J21" i="2"/>
  <c r="J20" i="2" s="1"/>
  <c r="J19" i="2" s="1"/>
  <c r="J8" i="2" s="1"/>
  <c r="I21" i="2"/>
  <c r="I20" i="2" s="1"/>
  <c r="I19" i="2" s="1"/>
  <c r="I8" i="2" s="1"/>
  <c r="F60" i="3"/>
  <c r="G234" i="3"/>
  <c r="G233" i="3" s="1"/>
  <c r="E212" i="3"/>
  <c r="E211" i="3" s="1"/>
  <c r="F148" i="3"/>
  <c r="F138" i="3"/>
  <c r="F137" i="3" s="1"/>
  <c r="F136" i="3" s="1"/>
  <c r="E157" i="3"/>
  <c r="E129" i="3"/>
  <c r="E137" i="3"/>
  <c r="E136" i="3" s="1"/>
  <c r="F170" i="3"/>
  <c r="E219" i="3"/>
  <c r="I234" i="3"/>
  <c r="I233" i="3" s="1"/>
  <c r="G151" i="3"/>
  <c r="G169" i="3"/>
  <c r="I60" i="3"/>
  <c r="I170" i="3"/>
  <c r="E69" i="3"/>
  <c r="E68" i="3" s="1"/>
  <c r="E67" i="3" s="1"/>
  <c r="E56" i="3" s="1"/>
  <c r="H129" i="3"/>
  <c r="I129" i="3"/>
  <c r="G68" i="3"/>
  <c r="G67" i="3" s="1"/>
  <c r="G56" i="3" s="1"/>
  <c r="F212" i="3"/>
  <c r="F211" i="3" s="1"/>
  <c r="F57" i="3" s="1"/>
  <c r="F69" i="3"/>
  <c r="F68" i="3" s="1"/>
  <c r="F67" i="3" s="1"/>
  <c r="F56" i="3" s="1"/>
  <c r="F129" i="3"/>
  <c r="H69" i="3"/>
  <c r="H68" i="3" s="1"/>
  <c r="H67" i="3" s="1"/>
  <c r="F151" i="3"/>
  <c r="F146" i="3" s="1"/>
  <c r="F145" i="3" s="1"/>
  <c r="F144" i="3" s="1"/>
  <c r="G146" i="3"/>
  <c r="E151" i="3"/>
  <c r="E201" i="3"/>
  <c r="H234" i="3"/>
  <c r="H233" i="3" s="1"/>
  <c r="F193" i="3"/>
  <c r="F192" i="3" s="1"/>
  <c r="E59" i="3"/>
  <c r="E193" i="3"/>
  <c r="E192" i="3" s="1"/>
  <c r="I151" i="3"/>
  <c r="I146" i="3" s="1"/>
  <c r="I145" i="3" s="1"/>
  <c r="I144" i="3" s="1"/>
  <c r="H151" i="3"/>
  <c r="H146" i="3" s="1"/>
  <c r="F201" i="3"/>
  <c r="F77" i="2"/>
  <c r="F18" i="2" s="1"/>
  <c r="G21" i="2"/>
  <c r="G151" i="2"/>
  <c r="J125" i="2"/>
  <c r="F89" i="2"/>
  <c r="F88" i="2" s="1"/>
  <c r="G100" i="2"/>
  <c r="F152" i="2"/>
  <c r="F151" i="2" s="1"/>
  <c r="F142" i="2" s="1"/>
  <c r="F160" i="2"/>
  <c r="F14" i="2" s="1"/>
  <c r="H88" i="2"/>
  <c r="F109" i="2"/>
  <c r="H103" i="2"/>
  <c r="H98" i="2" s="1"/>
  <c r="H97" i="2" s="1"/>
  <c r="H96" i="2" s="1"/>
  <c r="G81" i="2"/>
  <c r="F11" i="2"/>
  <c r="G11" i="2"/>
  <c r="G94" i="2"/>
  <c r="G103" i="2"/>
  <c r="G98" i="2" s="1"/>
  <c r="G97" i="2" s="1"/>
  <c r="G96" i="2" s="1"/>
  <c r="G160" i="2"/>
  <c r="G90" i="2"/>
  <c r="G20" i="2"/>
  <c r="G19" i="2" s="1"/>
  <c r="G8" i="2" s="1"/>
  <c r="H21" i="2"/>
  <c r="H20" i="2" s="1"/>
  <c r="H19" i="2" s="1"/>
  <c r="J89" i="2"/>
  <c r="J88" i="2" s="1"/>
  <c r="I69" i="3"/>
  <c r="I68" i="3" s="1"/>
  <c r="I67" i="3" s="1"/>
  <c r="H137" i="3"/>
  <c r="H136" i="3" s="1"/>
  <c r="I137" i="3"/>
  <c r="I136" i="3" s="1"/>
  <c r="G60" i="3"/>
  <c r="H169" i="3"/>
  <c r="H60" i="3"/>
  <c r="G148" i="3"/>
  <c r="E170" i="3"/>
  <c r="J81" i="2"/>
  <c r="I89" i="2"/>
  <c r="I88" i="2" s="1"/>
  <c r="F8" i="2"/>
  <c r="I12" i="2"/>
  <c r="F103" i="2"/>
  <c r="F98" i="2" s="1"/>
  <c r="F97" i="2" s="1"/>
  <c r="F96" i="2" s="1"/>
  <c r="F126" i="2"/>
  <c r="G54" i="3" l="1"/>
  <c r="I226" i="3"/>
  <c r="I183" i="3" s="1"/>
  <c r="I62" i="3"/>
  <c r="I125" i="3"/>
  <c r="I124" i="3" s="1"/>
  <c r="I123" i="3" s="1"/>
  <c r="I61" i="3" s="1"/>
  <c r="I77" i="2"/>
  <c r="I76" i="2" s="1"/>
  <c r="I75" i="2" s="1"/>
  <c r="J97" i="2"/>
  <c r="J96" i="2" s="1"/>
  <c r="G124" i="3"/>
  <c r="G123" i="3" s="1"/>
  <c r="G61" i="3" s="1"/>
  <c r="G226" i="3"/>
  <c r="G183" i="3" s="1"/>
  <c r="G62" i="3"/>
  <c r="H125" i="3"/>
  <c r="H124" i="3" s="1"/>
  <c r="H123" i="3" s="1"/>
  <c r="H61" i="3" s="1"/>
  <c r="H77" i="2"/>
  <c r="H76" i="2" s="1"/>
  <c r="H75" i="2" s="1"/>
  <c r="H13" i="2" s="1"/>
  <c r="F76" i="2"/>
  <c r="F75" i="2" s="1"/>
  <c r="F13" i="2" s="1"/>
  <c r="F6" i="2" s="1"/>
  <c r="H226" i="3"/>
  <c r="H183" i="3" s="1"/>
  <c r="H62" i="3"/>
  <c r="G66" i="3"/>
  <c r="I56" i="3"/>
  <c r="I66" i="3"/>
  <c r="H54" i="3"/>
  <c r="H66" i="3"/>
  <c r="H8" i="2"/>
  <c r="H6" i="2" s="1"/>
  <c r="E125" i="3"/>
  <c r="E124" i="3" s="1"/>
  <c r="E123" i="3" s="1"/>
  <c r="E61" i="3" s="1"/>
  <c r="E183" i="3"/>
  <c r="G145" i="3"/>
  <c r="G144" i="3" s="1"/>
  <c r="E146" i="3"/>
  <c r="E145" i="3" s="1"/>
  <c r="E144" i="3" s="1"/>
  <c r="E57" i="3"/>
  <c r="E62" i="3"/>
  <c r="F54" i="3"/>
  <c r="H145" i="3"/>
  <c r="H144" i="3" s="1"/>
  <c r="F125" i="3"/>
  <c r="F124" i="3" s="1"/>
  <c r="G6" i="2"/>
  <c r="G89" i="2"/>
  <c r="G88" i="2" s="1"/>
  <c r="J77" i="2"/>
  <c r="J18" i="2"/>
  <c r="H18" i="2" l="1"/>
  <c r="H17" i="2" s="1"/>
  <c r="I54" i="3"/>
  <c r="G65" i="3"/>
  <c r="J17" i="2"/>
  <c r="J76" i="2"/>
  <c r="J75" i="2" s="1"/>
  <c r="J13" i="2" s="1"/>
  <c r="J6" i="2" s="1"/>
  <c r="E54" i="3"/>
  <c r="E66" i="3"/>
  <c r="F66" i="3"/>
  <c r="H65" i="3"/>
  <c r="I65" i="3"/>
  <c r="G77" i="2"/>
  <c r="G18" i="2" s="1"/>
  <c r="G76" i="2"/>
  <c r="I13" i="2"/>
  <c r="I6" i="2" s="1"/>
  <c r="I18" i="2"/>
  <c r="I17" i="2" s="1"/>
  <c r="F98" i="7" l="1"/>
  <c r="E89" i="7"/>
  <c r="I90" i="7" l="1"/>
  <c r="I89" i="7" s="1"/>
  <c r="G92" i="7"/>
  <c r="G91" i="7" s="1"/>
  <c r="I135" i="7" l="1"/>
  <c r="I130" i="7" s="1"/>
  <c r="I129" i="7" s="1"/>
  <c r="I128" i="7" s="1"/>
  <c r="H135" i="7"/>
  <c r="H130" i="7" s="1"/>
  <c r="H129" i="7" s="1"/>
  <c r="H128" i="7" s="1"/>
  <c r="G135" i="7"/>
  <c r="G130" i="7" s="1"/>
  <c r="G129" i="7" s="1"/>
  <c r="G128" i="7" s="1"/>
  <c r="F135" i="7"/>
  <c r="F130" i="7" s="1"/>
  <c r="F129" i="7" s="1"/>
  <c r="F128" i="7" s="1"/>
  <c r="E130" i="7"/>
  <c r="E129" i="7" s="1"/>
  <c r="E128" i="7" s="1"/>
  <c r="F186" i="7"/>
  <c r="H9" i="7"/>
  <c r="I9" i="7"/>
  <c r="F108" i="7"/>
  <c r="E113" i="7"/>
  <c r="I112" i="7"/>
  <c r="I15" i="7" s="1"/>
  <c r="H112" i="7"/>
  <c r="H15" i="7" s="1"/>
  <c r="G112" i="7"/>
  <c r="G15" i="7" s="1"/>
  <c r="F112" i="7"/>
  <c r="F15" i="7" s="1"/>
  <c r="E112" i="7"/>
  <c r="E15" i="7" s="1"/>
  <c r="I103" i="7"/>
  <c r="H103" i="7"/>
  <c r="G103" i="7"/>
  <c r="F103" i="7"/>
  <c r="E103" i="7"/>
  <c r="I102" i="7"/>
  <c r="H102" i="7"/>
  <c r="G102" i="7"/>
  <c r="F102" i="7"/>
  <c r="E102" i="7"/>
  <c r="I117" i="7"/>
  <c r="H117" i="7"/>
  <c r="G117" i="7"/>
  <c r="F117" i="7"/>
  <c r="I114" i="7"/>
  <c r="H114" i="7"/>
  <c r="G114" i="7"/>
  <c r="F114" i="7"/>
  <c r="I110" i="7"/>
  <c r="H110" i="7"/>
  <c r="G110" i="7"/>
  <c r="F110" i="7"/>
  <c r="I109" i="7"/>
  <c r="H109" i="7"/>
  <c r="G109" i="7"/>
  <c r="F109" i="7"/>
  <c r="E109" i="7"/>
  <c r="I107" i="7"/>
  <c r="H107" i="7"/>
  <c r="G107" i="7"/>
  <c r="F107" i="7"/>
  <c r="E105" i="7"/>
  <c r="E104" i="7"/>
  <c r="I101" i="7"/>
  <c r="H101" i="7"/>
  <c r="G101" i="7"/>
  <c r="F101" i="7"/>
  <c r="E67" i="7"/>
  <c r="E66" i="7" s="1"/>
  <c r="E65" i="7" s="1"/>
  <c r="E55" i="7" s="1"/>
  <c r="I66" i="7"/>
  <c r="I65" i="7" s="1"/>
  <c r="I55" i="7" s="1"/>
  <c r="H66" i="7"/>
  <c r="H65" i="7" s="1"/>
  <c r="H55" i="7" s="1"/>
  <c r="G66" i="7"/>
  <c r="G65" i="7" s="1"/>
  <c r="G55" i="7" s="1"/>
  <c r="F66" i="7"/>
  <c r="F65" i="7" s="1"/>
  <c r="F55" i="7" s="1"/>
  <c r="E61" i="7"/>
  <c r="I51" i="7"/>
  <c r="H51" i="7"/>
  <c r="G51" i="7"/>
  <c r="F51" i="7"/>
  <c r="E51" i="7"/>
  <c r="G46" i="7"/>
  <c r="F46" i="7"/>
  <c r="E46" i="7"/>
  <c r="I41" i="7"/>
  <c r="H41" i="7"/>
  <c r="G41" i="7"/>
  <c r="F41" i="7"/>
  <c r="E41" i="7"/>
  <c r="I32" i="7"/>
  <c r="H32" i="7"/>
  <c r="G32" i="7"/>
  <c r="F32" i="7"/>
  <c r="E32" i="7"/>
  <c r="I26" i="7"/>
  <c r="H26" i="7"/>
  <c r="F26" i="7"/>
  <c r="E26" i="7"/>
  <c r="I23" i="7"/>
  <c r="H23" i="7"/>
  <c r="G23" i="7"/>
  <c r="F23" i="7"/>
  <c r="E23" i="7"/>
  <c r="I125" i="7"/>
  <c r="I124" i="7" s="1"/>
  <c r="H125" i="7"/>
  <c r="H124" i="7" s="1"/>
  <c r="G125" i="7"/>
  <c r="G124" i="7" s="1"/>
  <c r="F125" i="7"/>
  <c r="F123" i="7" s="1"/>
  <c r="E125" i="7"/>
  <c r="E124" i="7" s="1"/>
  <c r="I116" i="7"/>
  <c r="H116" i="7"/>
  <c r="G116" i="7"/>
  <c r="F116" i="7"/>
  <c r="I92" i="7"/>
  <c r="I91" i="7" s="1"/>
  <c r="H92" i="7"/>
  <c r="H91" i="7" s="1"/>
  <c r="F92" i="7"/>
  <c r="E92" i="7"/>
  <c r="E91" i="7" s="1"/>
  <c r="E111" i="7"/>
  <c r="H90" i="7"/>
  <c r="H89" i="7" s="1"/>
  <c r="G90" i="7"/>
  <c r="G89" i="7" s="1"/>
  <c r="F90" i="7"/>
  <c r="F89" i="7" s="1"/>
  <c r="I108" i="7"/>
  <c r="H108" i="7"/>
  <c r="G108" i="7"/>
  <c r="E108" i="7"/>
  <c r="I88" i="7"/>
  <c r="I87" i="7" s="1"/>
  <c r="H88" i="7"/>
  <c r="H87" i="7" s="1"/>
  <c r="G88" i="7"/>
  <c r="G87" i="7" s="1"/>
  <c r="G86" i="7" s="1"/>
  <c r="F88" i="7"/>
  <c r="E88" i="7"/>
  <c r="E87" i="7" s="1"/>
  <c r="E86" i="7" s="1"/>
  <c r="E85" i="7" s="1"/>
  <c r="E98" i="7"/>
  <c r="I99" i="7"/>
  <c r="H99" i="7"/>
  <c r="G99" i="7"/>
  <c r="F99" i="7"/>
  <c r="I84" i="7"/>
  <c r="I83" i="7" s="1"/>
  <c r="H84" i="7"/>
  <c r="H83" i="7" s="1"/>
  <c r="G84" i="7"/>
  <c r="G83" i="7" s="1"/>
  <c r="F83" i="7"/>
  <c r="E84" i="7"/>
  <c r="E83" i="7" s="1"/>
  <c r="I82" i="7"/>
  <c r="I81" i="7" s="1"/>
  <c r="H82" i="7"/>
  <c r="H81" i="7" s="1"/>
  <c r="G82" i="7"/>
  <c r="G81" i="7" s="1"/>
  <c r="F82" i="7"/>
  <c r="F81" i="7" s="1"/>
  <c r="E82" i="7"/>
  <c r="E81" i="7" s="1"/>
  <c r="I80" i="7"/>
  <c r="I79" i="7" s="1"/>
  <c r="H80" i="7"/>
  <c r="H79" i="7" s="1"/>
  <c r="G80" i="7"/>
  <c r="G79" i="7" s="1"/>
  <c r="F80" i="7"/>
  <c r="F79" i="7" s="1"/>
  <c r="E80" i="7"/>
  <c r="E79" i="7" s="1"/>
  <c r="E147" i="7"/>
  <c r="F147" i="7"/>
  <c r="E148" i="7"/>
  <c r="F148" i="7"/>
  <c r="E149" i="7"/>
  <c r="F149" i="7"/>
  <c r="E150" i="7"/>
  <c r="F150" i="7"/>
  <c r="E141" i="7"/>
  <c r="F141" i="7"/>
  <c r="G141" i="7"/>
  <c r="H141" i="7"/>
  <c r="I141" i="7"/>
  <c r="E155" i="7"/>
  <c r="F155" i="7"/>
  <c r="E156" i="7"/>
  <c r="F156" i="7"/>
  <c r="E157" i="7"/>
  <c r="F157" i="7"/>
  <c r="F158" i="7"/>
  <c r="E159" i="7"/>
  <c r="F159" i="7"/>
  <c r="E166" i="7"/>
  <c r="F166" i="7"/>
  <c r="E167" i="7"/>
  <c r="F167" i="7"/>
  <c r="E168" i="7"/>
  <c r="F168" i="7"/>
  <c r="E173" i="7"/>
  <c r="E174" i="7"/>
  <c r="E175" i="7"/>
  <c r="E176" i="7"/>
  <c r="G188" i="7"/>
  <c r="H188" i="7"/>
  <c r="I188" i="7"/>
  <c r="G189" i="7"/>
  <c r="H189" i="7"/>
  <c r="I189" i="7"/>
  <c r="G190" i="7"/>
  <c r="H190" i="7"/>
  <c r="I190" i="7"/>
  <c r="G192" i="7"/>
  <c r="H192" i="7"/>
  <c r="I192" i="7"/>
  <c r="G187" i="7" l="1"/>
  <c r="F97" i="7"/>
  <c r="G100" i="7"/>
  <c r="G95" i="7" s="1"/>
  <c r="G73" i="7"/>
  <c r="G72" i="7" s="1"/>
  <c r="G13" i="7" s="1"/>
  <c r="F78" i="7"/>
  <c r="G78" i="7"/>
  <c r="G74" i="7" s="1"/>
  <c r="G85" i="7"/>
  <c r="E78" i="7"/>
  <c r="E74" i="7" s="1"/>
  <c r="I86" i="7"/>
  <c r="I85" i="7" s="1"/>
  <c r="F91" i="7"/>
  <c r="E106" i="7"/>
  <c r="E12" i="7"/>
  <c r="F12" i="7"/>
  <c r="F100" i="7"/>
  <c r="F95" i="7" s="1"/>
  <c r="F94" i="7" s="1"/>
  <c r="F93" i="7" s="1"/>
  <c r="H100" i="7"/>
  <c r="H95" i="7" s="1"/>
  <c r="I97" i="7"/>
  <c r="H12" i="7"/>
  <c r="E97" i="7"/>
  <c r="I12" i="7"/>
  <c r="G97" i="7"/>
  <c r="H97" i="7"/>
  <c r="E100" i="7"/>
  <c r="G12" i="7"/>
  <c r="I100" i="7"/>
  <c r="I95" i="7" s="1"/>
  <c r="H21" i="7"/>
  <c r="H20" i="7" s="1"/>
  <c r="H19" i="7" s="1"/>
  <c r="H8" i="7" s="1"/>
  <c r="I21" i="7"/>
  <c r="I20" i="7" s="1"/>
  <c r="I19" i="7" s="1"/>
  <c r="I8" i="7" s="1"/>
  <c r="G21" i="7"/>
  <c r="G20" i="7" s="1"/>
  <c r="G19" i="7" s="1"/>
  <c r="G8" i="7" s="1"/>
  <c r="G123" i="7"/>
  <c r="I123" i="7"/>
  <c r="E165" i="7"/>
  <c r="E164" i="7" s="1"/>
  <c r="E11" i="7"/>
  <c r="H187" i="7"/>
  <c r="H186" i="7" s="1"/>
  <c r="H179" i="7" s="1"/>
  <c r="F154" i="7"/>
  <c r="E21" i="7"/>
  <c r="E20" i="7" s="1"/>
  <c r="E19" i="7" s="1"/>
  <c r="E8" i="7" s="1"/>
  <c r="E154" i="7"/>
  <c r="F21" i="7"/>
  <c r="F20" i="7" s="1"/>
  <c r="F19" i="7" s="1"/>
  <c r="E146" i="7"/>
  <c r="E145" i="7" s="1"/>
  <c r="H123" i="7"/>
  <c r="E172" i="7"/>
  <c r="F87" i="7"/>
  <c r="F86" i="7" s="1"/>
  <c r="F85" i="7" s="1"/>
  <c r="F124" i="7"/>
  <c r="I78" i="7"/>
  <c r="F146" i="7"/>
  <c r="F145" i="7" s="1"/>
  <c r="E123" i="7"/>
  <c r="I187" i="7"/>
  <c r="I186" i="7" s="1"/>
  <c r="I179" i="7" s="1"/>
  <c r="F165" i="7"/>
  <c r="F164" i="7" s="1"/>
  <c r="H78" i="7"/>
  <c r="G13" i="3"/>
  <c r="C10" i="5"/>
  <c r="B10" i="5"/>
  <c r="I14" i="7" l="1"/>
  <c r="G186" i="7"/>
  <c r="G14" i="7" s="1"/>
  <c r="G6" i="7" s="1"/>
  <c r="F74" i="7"/>
  <c r="F73" i="7" s="1"/>
  <c r="F72" i="7" s="1"/>
  <c r="H14" i="7"/>
  <c r="I74" i="7"/>
  <c r="I94" i="7"/>
  <c r="I93" i="7" s="1"/>
  <c r="E95" i="7"/>
  <c r="G18" i="7"/>
  <c r="E73" i="7"/>
  <c r="E72" i="7" s="1"/>
  <c r="E13" i="7" s="1"/>
  <c r="E14" i="7"/>
  <c r="G94" i="7"/>
  <c r="G93" i="7" s="1"/>
  <c r="E9" i="7"/>
  <c r="E18" i="7"/>
  <c r="H94" i="7"/>
  <c r="H93" i="7" s="1"/>
  <c r="E94" i="7"/>
  <c r="E93" i="7" s="1"/>
  <c r="H86" i="7"/>
  <c r="H85" i="7" s="1"/>
  <c r="E136" i="7"/>
  <c r="I46" i="3"/>
  <c r="H46" i="3"/>
  <c r="I24" i="3"/>
  <c r="H24" i="3"/>
  <c r="I22" i="3"/>
  <c r="H22" i="3"/>
  <c r="I19" i="3"/>
  <c r="I18" i="3" s="1"/>
  <c r="H19" i="3"/>
  <c r="H18" i="3" s="1"/>
  <c r="I11" i="3"/>
  <c r="H11" i="3"/>
  <c r="I13" i="3"/>
  <c r="H13" i="3"/>
  <c r="G46" i="3"/>
  <c r="G24" i="3"/>
  <c r="E11" i="3"/>
  <c r="E13" i="3"/>
  <c r="E22" i="3"/>
  <c r="E21" i="3" s="1"/>
  <c r="E34" i="3"/>
  <c r="F46" i="3"/>
  <c r="F38" i="3"/>
  <c r="F35" i="3"/>
  <c r="F25" i="3"/>
  <c r="F24" i="3" s="1"/>
  <c r="F23" i="3"/>
  <c r="F22" i="3" s="1"/>
  <c r="E19" i="3"/>
  <c r="E18" i="3" s="1"/>
  <c r="G19" i="3"/>
  <c r="G18" i="3" s="1"/>
  <c r="F20" i="3"/>
  <c r="F19" i="3" s="1"/>
  <c r="F18" i="3" s="1"/>
  <c r="F17" i="3"/>
  <c r="F16" i="3"/>
  <c r="F15" i="3"/>
  <c r="F14" i="3"/>
  <c r="I73" i="7" l="1"/>
  <c r="I72" i="7" s="1"/>
  <c r="I13" i="7" s="1"/>
  <c r="I6" i="7" s="1"/>
  <c r="G179" i="7"/>
  <c r="G136" i="7" s="1"/>
  <c r="F34" i="3"/>
  <c r="G17" i="7"/>
  <c r="E6" i="7"/>
  <c r="H74" i="7"/>
  <c r="I18" i="7"/>
  <c r="I17" i="7" s="1"/>
  <c r="E10" i="3"/>
  <c r="H21" i="3"/>
  <c r="H10" i="3" s="1"/>
  <c r="I21" i="3"/>
  <c r="I10" i="3" s="1"/>
  <c r="F21" i="3"/>
  <c r="G21" i="3"/>
  <c r="G10" i="3" s="1"/>
  <c r="F13" i="3"/>
  <c r="F11" i="3"/>
  <c r="H73" i="7" l="1"/>
  <c r="H72" i="7" s="1"/>
  <c r="H13" i="7" s="1"/>
  <c r="H6" i="7" s="1"/>
  <c r="H18" i="7"/>
  <c r="H17" i="7" s="1"/>
  <c r="F10" i="3"/>
  <c r="F18" i="7"/>
  <c r="F17" i="7" s="1"/>
  <c r="F6" i="7"/>
</calcChain>
</file>

<file path=xl/sharedStrings.xml><?xml version="1.0" encoding="utf-8"?>
<sst xmlns="http://schemas.openxmlformats.org/spreadsheetml/2006/main" count="700" uniqueCount="211">
  <si>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</si>
  <si>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</si>
  <si>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</si>
  <si>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</si>
  <si>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</si>
  <si>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</si>
  <si>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</si>
  <si>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</si>
  <si>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</si>
  <si>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</si>
  <si>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</si>
  <si>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</si>
  <si>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</si>
  <si>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</si>
  <si>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</si>
  <si>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</si>
  <si>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</si>
  <si>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</si>
  <si>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</si>
  <si>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</si>
  <si>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</si>
  <si>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</si>
  <si>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</si>
  <si>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</si>
  <si>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</si>
  <si>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</si>
  <si>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</si>
  <si>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</si>
  <si>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</si>
  <si>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</si>
  <si>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</si>
  <si>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</si>
  <si>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</si>
  <si>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</si>
  <si>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</si>
  <si>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</si>
  <si>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</si>
  <si>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</si>
  <si>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</si>
  <si>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</si>
  <si>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</si>
  <si>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</si>
  <si>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</si>
  <si>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</si>
  <si>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</si>
  <si>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</si>
  <si>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</si>
  <si>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</si>
  <si>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</si>
  <si>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</si>
  <si>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</si>
  <si>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</si>
  <si>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</si>
  <si>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</si>
  <si>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</si>
  <si>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</si>
  <si>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</si>
  <si>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</si>
  <si>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</si>
  <si>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</si>
  <si>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</si>
  <si>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</si>
  <si>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nakande troškolva zaposlenima</t>
  </si>
  <si>
    <t>službena putovanja</t>
  </si>
  <si>
    <t>naknade za prijevoz</t>
  </si>
  <si>
    <t>Rashodi za materijal i energiju</t>
  </si>
  <si>
    <t>uredski materijal</t>
  </si>
  <si>
    <t>materijal i siroovine</t>
  </si>
  <si>
    <t>energija</t>
  </si>
  <si>
    <t>materijal i dijelovi za tek i inv.o.</t>
  </si>
  <si>
    <t>sitni inventar</t>
  </si>
  <si>
    <t>Rashodi za usluge</t>
  </si>
  <si>
    <t>Usluge telefona ,pošte i prijevoza</t>
  </si>
  <si>
    <t>usluge tekućeg i inv.o.</t>
  </si>
  <si>
    <t>usluge promidžbe i informiranja</t>
  </si>
  <si>
    <t>komunalne usluge</t>
  </si>
  <si>
    <t>zdravstvene i veterinarske usluge</t>
  </si>
  <si>
    <t>računalne usluge</t>
  </si>
  <si>
    <t>ostale usluge</t>
  </si>
  <si>
    <t>ostali nespomenuti rashodi poslovanja</t>
  </si>
  <si>
    <t>premija osiguranja</t>
  </si>
  <si>
    <t>intelektualne i osone usluge</t>
  </si>
  <si>
    <t>K3050-02</t>
  </si>
  <si>
    <t>Kapitalni izdaci iz decentralizacije</t>
  </si>
  <si>
    <t>uredska oprema i namještaj</t>
  </si>
  <si>
    <t>dodatna ulaganja  u građevinskim objektima</t>
  </si>
  <si>
    <t>POSTROJENJA I OPREMA</t>
  </si>
  <si>
    <t>RASHODI ZA NABAVU PROIZVEDENE DUGOTRAJNE IMOVINE</t>
  </si>
  <si>
    <t>RASHODI ZA DODATNA ULAGANJA NA NEFINANCIJSKOJ IMOVINI</t>
  </si>
  <si>
    <t>DODATNA ULAGANJA NA GRAĐEVINSKIM OBJEKTIMA</t>
  </si>
  <si>
    <t>OPREMA ZA ODRŽAVANJE I ZAŠTITU</t>
  </si>
  <si>
    <t>Osnovno školstvo</t>
  </si>
  <si>
    <t>Kap.pomoći iz DP prorač.kor.pror. JLP</t>
  </si>
  <si>
    <t>PRIJENOSI IZMEĐU PRORAČ KORISNIKA ISTOG P.</t>
  </si>
  <si>
    <t>Tekući prijenosi između proračunskih korisnika istog proračuna temeljem prijenosa EU sredstava</t>
  </si>
  <si>
    <t>PRIHODI OD ADMIN. PRISTOJBI I PO POSEBNIM PROPISIMA</t>
  </si>
  <si>
    <t>PRIHODI PO POSEBNIM PROPISIMA</t>
  </si>
  <si>
    <t>PRIHODI ZA POSEBNE NAMJENE-OŠ</t>
  </si>
  <si>
    <t>PRIHODI OD PRODAJE PROIZVODA I ROBE</t>
  </si>
  <si>
    <t>PRIHODI OD PRODAJE PROIZVODA I ROBE,TE PRUŽENIH USLUGA</t>
  </si>
  <si>
    <t>PRIHODI OD PRUŽENIH USLUGA-OŠ</t>
  </si>
  <si>
    <t>DONACIJE OD PRAVNIH I FIZIČKIH OSOBA IZVAN OPĆE DRŽAVE</t>
  </si>
  <si>
    <t>TEKUĆE DONACIJE-OŠ</t>
  </si>
  <si>
    <t>Prihodi iz nadležnog proračuna za financiranje redovne djelatnosti 
proračunskih korisni</t>
  </si>
  <si>
    <t>Prihodi iz nadležnog proračuna za financiranje 
rashoda poslovanja-OŠ</t>
  </si>
  <si>
    <t>Prihodi iz nadležnog proračuna-PREDF.ASISTENATA</t>
  </si>
  <si>
    <t>PRIHODI ZA FINANCIRANJE RASHODA ZA NABAVU NEFINANCIJSKE IMOVINE</t>
  </si>
  <si>
    <t>PRIHODI OD PRODAJE KNJIGA, UMJETNIČKIH DJ. I OST. IZLOŽ. VR.</t>
  </si>
  <si>
    <t>KNJIGE -OŠ</t>
  </si>
  <si>
    <t>plaće bruto</t>
  </si>
  <si>
    <t>plaće za redovan rad</t>
  </si>
  <si>
    <t>ostali rashodi za zaposlene</t>
  </si>
  <si>
    <t>doprinsoi na plaću</t>
  </si>
  <si>
    <t>doprinsoi na za obvezno zdravstveno osiguranje</t>
  </si>
  <si>
    <t>MATERIJALNI RASHODI</t>
  </si>
  <si>
    <t>NAKNADE TROŠKOVA ZAPOSLENIKA</t>
  </si>
  <si>
    <t>NAKNADE ZA PRIJEVOZ</t>
  </si>
  <si>
    <t>RASHODI ZA USLUGE</t>
  </si>
  <si>
    <t>ZDRAVSTVENE I VETERINARSKE USLUGE</t>
  </si>
  <si>
    <t>OSTALI NESPOMENUTI RASHODI POSLOVANJA</t>
  </si>
  <si>
    <t>NOVČANA NAKNADA ZBOG NEZAPOŠ.INVALIDA</t>
  </si>
  <si>
    <t>SLUŽBENA PUTOVANJA</t>
  </si>
  <si>
    <t>USLUGE TEK. I INV. O.</t>
  </si>
  <si>
    <t>NAKNADE GRAĐANIMA I KUĆANSTVIMA NA TEMELJU OSIGURANJA</t>
  </si>
  <si>
    <t>OSTALE NAKNADE GRAĐANIMA I KUĆANSTVIMA IZ PRORAČUNA</t>
  </si>
  <si>
    <t>NAKNADE GRAĐANIMA I KUĆANSTVIMA U NARAVI</t>
  </si>
  <si>
    <t>kapitalni projekt K3060-02</t>
  </si>
  <si>
    <t>KAPITALNI IZDACI IZNAD STANDARDA</t>
  </si>
  <si>
    <t>KNJIGE</t>
  </si>
  <si>
    <t>KNJIGE, UMJETNIČKA DJELA I OSTALE IZLOŽBENE VRIJEDNOSTI</t>
  </si>
  <si>
    <t>FINANCIJSKI RASHODI</t>
  </si>
  <si>
    <t>OSTALI FINANCIJSKI RASHODI</t>
  </si>
  <si>
    <t>BANKARSKE USLUGE</t>
  </si>
  <si>
    <t>usluge telefona,pošte i prijevoza</t>
  </si>
  <si>
    <t>intelektualne  i osobne usluge</t>
  </si>
  <si>
    <t>reprezentacija</t>
  </si>
  <si>
    <t>materijal i sirovine</t>
  </si>
  <si>
    <t>intelektualne i osobne usluge</t>
  </si>
  <si>
    <t xml:space="preserve"> </t>
  </si>
  <si>
    <t>GLAVA 030-02              OSNOVNOŠKOLSKO OBRAZOVANJE</t>
  </si>
  <si>
    <t>PROGRAM 3070</t>
  </si>
  <si>
    <t>RAZVOJNI I OSTALI PROJEKTI I PROGRAMI</t>
  </si>
  <si>
    <t>T3070-03</t>
  </si>
  <si>
    <t>POMOĆNICI U NASTAVI</t>
  </si>
  <si>
    <t>pomoći iz inozemstva</t>
  </si>
  <si>
    <t>doprinosi za obvezno zdravstveno osiguranje</t>
  </si>
  <si>
    <t>T3070-05</t>
  </si>
  <si>
    <t>Shema školskog voća i mlijeka</t>
  </si>
  <si>
    <t>T3070-11</t>
  </si>
  <si>
    <t>obrazovanje jednakih mogućnosti II</t>
  </si>
  <si>
    <t>PREDFINANCIRANJE</t>
  </si>
  <si>
    <t>OPĆI PRIHODI I PRIMICI</t>
  </si>
  <si>
    <t>VLASTITI PRIHODI</t>
  </si>
  <si>
    <t>PRIHODI ZA POSEBNE NAMJENE</t>
  </si>
  <si>
    <t>POMOĆI</t>
  </si>
  <si>
    <t>POMOĆI IZ INOZEMSTVA</t>
  </si>
  <si>
    <t>TEKUĆE DONACIJE</t>
  </si>
  <si>
    <t>obrazovanje jednakih mogućnosti III</t>
  </si>
  <si>
    <t xml:space="preserve">Izvršenje 2021.** KN     </t>
  </si>
  <si>
    <t xml:space="preserve">Izvršenje 2021.**     EUR      </t>
  </si>
  <si>
    <t xml:space="preserve">Plan 2022.**                              EUR                 </t>
  </si>
  <si>
    <t>Plan 2022.**                                   KN</t>
  </si>
  <si>
    <t xml:space="preserve">Plan za 2023.                        EUR </t>
  </si>
  <si>
    <t>Plan za 2023.                           KN</t>
  </si>
  <si>
    <t>Projekcija 
za 2024.                            EUR</t>
  </si>
  <si>
    <t>Projekcija 
za 2024.                               KN</t>
  </si>
  <si>
    <t>Projekcija 
za 2025.                          EUR</t>
  </si>
  <si>
    <t>Projekcija 
za 2025.                             KN</t>
  </si>
  <si>
    <t>OSNOVNO ŠKOLSTVO STANDRAD</t>
  </si>
  <si>
    <t xml:space="preserve"> A3050-01</t>
  </si>
  <si>
    <t>OSIGURANJE UVJETA RADA OŠ-MINIMALNI STANDARD</t>
  </si>
  <si>
    <t>OSNOVNOŠKOLSKO OBRAZOVANJE</t>
  </si>
  <si>
    <t>A3050-04</t>
  </si>
  <si>
    <t>ODGOJNO OBRAZOVNO, ADMINISTRATIVNO I TEHNIČKO OSOBLJE</t>
  </si>
  <si>
    <t>A3060-01</t>
  </si>
  <si>
    <t>PROGRAM3060</t>
  </si>
  <si>
    <t>OSNOVNO ŠKOLSTVO IZNAD STANDARDA</t>
  </si>
  <si>
    <t>Djelatnost osnovnih škola iznad standarda</t>
  </si>
  <si>
    <t xml:space="preserve"> 030-02</t>
  </si>
  <si>
    <t>PROGRAM3050</t>
  </si>
  <si>
    <t>pomoći</t>
  </si>
  <si>
    <t xml:space="preserve">     </t>
  </si>
  <si>
    <t>A3050-01</t>
  </si>
  <si>
    <t>Višak-fond porav. I dod.udio u por.na doh.</t>
  </si>
  <si>
    <t>opći prihodi i rashodi</t>
  </si>
  <si>
    <t>NAKNADE GRAĐANIMA I KUĆANSTVIMA U NOVCU</t>
  </si>
  <si>
    <t>T3070-12</t>
  </si>
  <si>
    <t>USLUGA PRIJEVOZA UČENIKA</t>
  </si>
  <si>
    <t>73070-12</t>
  </si>
  <si>
    <t>Usluga prijevoza</t>
  </si>
  <si>
    <t>Višak-fond porav. I dod.udio u por.na doh. (usluga prijevoza)</t>
  </si>
  <si>
    <t>troškovi sudskih postupaka</t>
  </si>
  <si>
    <t>ZATEZNE KAMATE</t>
  </si>
  <si>
    <t>3211  11</t>
  </si>
  <si>
    <t>RASHODI ZA ZAPOSLENE</t>
  </si>
  <si>
    <t>obrazovanje jednakih mogućnosti IV</t>
  </si>
  <si>
    <t>T3070-18</t>
  </si>
  <si>
    <t>sliužbena putovanja</t>
  </si>
  <si>
    <t>TROŠKOVI SUDSKIH POSTUPAKA</t>
  </si>
  <si>
    <t>službeni pu</t>
  </si>
  <si>
    <t>zatezne kamate</t>
  </si>
  <si>
    <t xml:space="preserve"> FINANCIJSKI PLAN  O.Š. ANTUNA GUSTAVA MATOŠA NOVALJA 
ZA 2023. I PROJEKCIJE ZA 2024. I 2025. GODINU-REBALANS II</t>
  </si>
  <si>
    <t xml:space="preserve"> FINANCIJSKI PLAN PRORAČUNSKOG KORISNIKA JEDINICE LOKALNE I PODRUČNE (REGIONALNE) SAMOUPRAVE 
ZA 2023. I PROJEKCIJA ZA 2024. I 2025. GODINU - REBALANS II</t>
  </si>
  <si>
    <t xml:space="preserve"> FINANCIJSKI PLAN PRORAČUNSKOG KORISNIKA JEDINICE LOKALNE I PODRUČNE (REGIONALNE) SAMOUPRAVE 
ZA 2023. I PROJEKCIJA ZA 2024. I 2025. GODINU -REBALANS II</t>
  </si>
  <si>
    <t>FINANCIJSKI PLAN  PRORAČUNSKOG KORISNIKA JEDINICE LOKALNE I PODRUČNE (REGIONALNE) SAMOUPRAVE 
ZA 2023. I PROJEKCIJA ZA 2024. I 2025. GODINU - REBALANS II</t>
  </si>
  <si>
    <t xml:space="preserve"> FINANCIJSKI PLAN PRORAČUNSKOG KORISNIKA JEDINICE LOKALNE I PODRUČNE (REGIONALNE) SAMOUPRAVE 
ZA 2023. I PROJEKCIJA ZA 2024. I 2025. GODINU-REBALANS II</t>
  </si>
  <si>
    <t>KLASA: 400-02/22-01/3</t>
  </si>
  <si>
    <t>URBROJ: 2125/20-15</t>
  </si>
  <si>
    <t>Novalja, 29. kolovoza 2023.</t>
  </si>
  <si>
    <t>PREDSJEDNICA ŠKOLSKOG ODBORA</t>
  </si>
  <si>
    <t>Adriana Dabo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</si>
</sst>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1" fillId="2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2" fontId="0" fillId="0" borderId="0" xfId="0" applyNumberFormat="1"/>
    <xf numFmtId="0" fontId="6" fillId="0" borderId="3" xfId="0" applyNumberFormat="1" applyFont="1" applyFill="1" applyBorder="1" applyAlignment="1" applyProtection="1">
      <alignment horizontal="left"/>
    </xf>
    <xf numFmtId="0" fontId="0" fillId="0" borderId="3" xfId="0" applyBorder="1"/>
    <xf numFmtId="2" fontId="0" fillId="0" borderId="3" xfId="0" applyNumberFormat="1" applyBorder="1"/>
    <xf numFmtId="0" fontId="0" fillId="0" borderId="3" xfId="0" applyFont="1" applyBorder="1"/>
    <xf numFmtId="0" fontId="22" fillId="0" borderId="3" xfId="0" applyFont="1" applyBorder="1"/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2" fontId="1" fillId="0" borderId="0" xfId="0" applyNumberFormat="1" applyFont="1"/>
    <xf numFmtId="0" fontId="21" fillId="2" borderId="3" xfId="0" quotePrefix="1" applyFont="1" applyFill="1" applyBorder="1" applyAlignment="1">
      <alignment horizontal="left" vertical="center" wrapText="1"/>
    </xf>
    <xf numFmtId="4" fontId="1" fillId="0" borderId="0" xfId="0" applyNumberFormat="1" applyFont="1"/>
    <xf numFmtId="4" fontId="6" fillId="2" borderId="3" xfId="0" applyNumberFormat="1" applyFont="1" applyFill="1" applyBorder="1" applyAlignment="1">
      <alignment horizontal="right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3" fillId="0" borderId="3" xfId="0" applyFont="1" applyBorder="1" applyAlignment="1">
      <alignment wrapText="1"/>
    </xf>
    <xf numFmtId="2" fontId="1" fillId="0" borderId="3" xfId="0" applyNumberFormat="1" applyFont="1" applyBorder="1"/>
    <xf numFmtId="4" fontId="1" fillId="0" borderId="3" xfId="0" applyNumberFormat="1" applyFont="1" applyBorder="1"/>
    <xf numFmtId="0" fontId="11" fillId="2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23" fillId="0" borderId="3" xfId="0" applyFont="1" applyBorder="1"/>
    <xf numFmtId="2" fontId="23" fillId="0" borderId="3" xfId="0" applyNumberFormat="1" applyFont="1" applyBorder="1"/>
    <xf numFmtId="2" fontId="22" fillId="0" borderId="3" xfId="0" applyNumberFormat="1" applyFon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wrapText="1"/>
    </xf>
    <xf numFmtId="165" fontId="3" fillId="2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indent="2"/>
    </xf>
    <xf numFmtId="4" fontId="6" fillId="6" borderId="3" xfId="1" applyNumberFormat="1" applyFont="1" applyFill="1" applyBorder="1" applyAlignment="1">
      <alignment horizontal="right" indent="2"/>
    </xf>
    <xf numFmtId="4" fontId="6" fillId="0" borderId="3" xfId="0" applyNumberFormat="1" applyFont="1" applyFill="1" applyBorder="1" applyAlignment="1">
      <alignment horizontal="right" indent="2"/>
    </xf>
    <xf numFmtId="4" fontId="6" fillId="0" borderId="3" xfId="1" applyNumberFormat="1" applyFont="1" applyFill="1" applyBorder="1" applyAlignment="1">
      <alignment horizontal="right" indent="2"/>
    </xf>
    <xf numFmtId="4" fontId="6" fillId="0" borderId="3" xfId="0" applyNumberFormat="1" applyFont="1" applyBorder="1" applyAlignment="1">
      <alignment horizontal="right" indent="2"/>
    </xf>
    <xf numFmtId="4" fontId="6" fillId="3" borderId="3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 applyProtection="1">
      <alignment horizontal="right" wrapText="1"/>
    </xf>
    <xf numFmtId="3" fontId="6" fillId="3" borderId="0" xfId="0" applyNumberFormat="1" applyFont="1" applyFill="1" applyBorder="1" applyAlignment="1" applyProtection="1">
      <alignment horizontal="right" wrapText="1"/>
    </xf>
    <xf numFmtId="4" fontId="6" fillId="6" borderId="3" xfId="1" applyNumberFormat="1" applyFont="1" applyFill="1" applyBorder="1" applyAlignment="1">
      <alignment horizontal="right"/>
    </xf>
    <xf numFmtId="4" fontId="6" fillId="0" borderId="3" xfId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 applyProtection="1">
      <alignment wrapText="1"/>
    </xf>
    <xf numFmtId="0" fontId="0" fillId="0" borderId="0" xfId="0" applyBorder="1"/>
    <xf numFmtId="0" fontId="23" fillId="0" borderId="9" xfId="0" applyFont="1" applyFill="1" applyBorder="1"/>
    <xf numFmtId="0" fontId="23" fillId="0" borderId="9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 applyFont="1"/>
    <xf numFmtId="2" fontId="6" fillId="2" borderId="0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2" fontId="3" fillId="2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19" fillId="2" borderId="12" xfId="0" applyNumberFormat="1" applyFont="1" applyFill="1" applyBorder="1" applyAlignment="1" applyProtection="1">
      <alignment horizontal="left" vertical="center" wrapText="1"/>
    </xf>
    <xf numFmtId="164" fontId="6" fillId="0" borderId="6" xfId="1" applyFont="1" applyFill="1" applyBorder="1" applyAlignment="1" applyProtection="1">
      <alignment horizontal="center" vertical="center" wrapText="1"/>
    </xf>
    <xf numFmtId="164" fontId="6" fillId="0" borderId="8" xfId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24" fillId="2" borderId="3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2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21" fillId="2" borderId="8" xfId="0" applyNumberFormat="1" applyFont="1" applyFill="1" applyBorder="1" applyAlignment="1" applyProtection="1">
      <alignment horizontal="left" vertical="center" wrapText="1"/>
    </xf>
    <xf numFmtId="2" fontId="6" fillId="2" borderId="8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0" fontId="21" fillId="2" borderId="13" xfId="0" applyNumberFormat="1" applyFont="1" applyFill="1" applyBorder="1" applyAlignment="1" applyProtection="1">
      <alignment horizontal="left" vertical="center" wrapText="1"/>
    </xf>
    <xf numFmtId="0" fontId="21" fillId="2" borderId="14" xfId="0" applyNumberFormat="1" applyFont="1" applyFill="1" applyBorder="1" applyAlignment="1" applyProtection="1">
      <alignment horizontal="left" vertical="center" wrapText="1"/>
    </xf>
    <xf numFmtId="4" fontId="24" fillId="2" borderId="14" xfId="0" applyNumberFormat="1" applyFont="1" applyFill="1" applyBorder="1" applyAlignment="1">
      <alignment horizontal="right"/>
    </xf>
    <xf numFmtId="4" fontId="24" fillId="2" borderId="15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2" fontId="25" fillId="2" borderId="4" xfId="0" applyNumberFormat="1" applyFont="1" applyFill="1" applyBorder="1" applyAlignment="1">
      <alignment horizontal="right"/>
    </xf>
    <xf numFmtId="2" fontId="26" fillId="0" borderId="4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64" fontId="6" fillId="0" borderId="0" xfId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16" xfId="0" applyBorder="1"/>
    <xf numFmtId="0" fontId="10" fillId="2" borderId="16" xfId="0" quotePrefix="1" applyFont="1" applyFill="1" applyBorder="1" applyAlignment="1">
      <alignment horizontal="left" vertical="center"/>
    </xf>
    <xf numFmtId="0" fontId="22" fillId="0" borderId="16" xfId="0" applyFont="1" applyBorder="1"/>
    <xf numFmtId="2" fontId="0" fillId="0" borderId="16" xfId="0" applyNumberFormat="1" applyBorder="1"/>
    <xf numFmtId="4" fontId="0" fillId="0" borderId="16" xfId="0" applyNumberFormat="1" applyBorder="1"/>
    <xf numFmtId="0" fontId="1" fillId="0" borderId="8" xfId="0" applyFont="1" applyBorder="1"/>
    <xf numFmtId="0" fontId="21" fillId="2" borderId="8" xfId="0" quotePrefix="1" applyFont="1" applyFill="1" applyBorder="1" applyAlignment="1">
      <alignment horizontal="left" vertical="center"/>
    </xf>
    <xf numFmtId="0" fontId="23" fillId="0" borderId="8" xfId="0" applyFont="1" applyBorder="1"/>
    <xf numFmtId="4" fontId="1" fillId="0" borderId="8" xfId="0" applyNumberFormat="1" applyFont="1" applyBorder="1"/>
    <xf numFmtId="0" fontId="19" fillId="2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2" fontId="22" fillId="0" borderId="4" xfId="0" applyNumberFormat="1" applyFont="1" applyBorder="1"/>
    <xf numFmtId="4" fontId="27" fillId="0" borderId="3" xfId="0" applyNumberFormat="1" applyFont="1" applyBorder="1"/>
    <xf numFmtId="4" fontId="23" fillId="0" borderId="3" xfId="0" applyNumberFormat="1" applyFont="1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0" fillId="0" borderId="0" xfId="0" applyNumberFormat="1"/>
    <xf numFmtId="0" fontId="6" fillId="2" borderId="11" xfId="0" applyNumberFormat="1" applyFont="1" applyFill="1" applyBorder="1" applyAlignment="1" applyProtection="1">
      <alignment horizontal="left" vertical="center" wrapText="1" indent="1"/>
    </xf>
    <xf numFmtId="0" fontId="6" fillId="2" borderId="12" xfId="0" applyNumberFormat="1" applyFont="1" applyFill="1" applyBorder="1" applyAlignment="1" applyProtection="1">
      <alignment horizontal="left" vertical="center" wrapText="1" indent="1"/>
    </xf>
    <xf numFmtId="0" fontId="24" fillId="2" borderId="12" xfId="0" applyNumberFormat="1" applyFont="1" applyFill="1" applyBorder="1" applyAlignment="1" applyProtection="1">
      <alignment horizontal="left" vertical="center" wrapText="1"/>
    </xf>
    <xf numFmtId="2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0" fontId="24" fillId="2" borderId="17" xfId="0" applyNumberFormat="1" applyFont="1" applyFill="1" applyBorder="1" applyAlignment="1" applyProtection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24" fillId="2" borderId="24" xfId="0" applyNumberFormat="1" applyFont="1" applyFill="1" applyBorder="1" applyAlignment="1" applyProtection="1">
      <alignment horizontal="left" vertical="center" wrapText="1"/>
    </xf>
    <xf numFmtId="2" fontId="3" fillId="2" borderId="24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4" fontId="6" fillId="2" borderId="23" xfId="0" applyNumberFormat="1" applyFont="1" applyFill="1" applyBorder="1" applyAlignment="1">
      <alignment horizontal="right"/>
    </xf>
    <xf numFmtId="0" fontId="3" fillId="2" borderId="21" xfId="0" applyNumberFormat="1" applyFont="1" applyFill="1" applyBorder="1" applyAlignment="1" applyProtection="1">
      <alignment horizontal="left" vertical="center" wrapText="1" indent="1"/>
    </xf>
    <xf numFmtId="0" fontId="3" fillId="2" borderId="18" xfId="0" applyNumberFormat="1" applyFont="1" applyFill="1" applyBorder="1" applyAlignment="1" applyProtection="1">
      <alignment horizontal="left" vertical="center" wrapText="1" indent="1"/>
    </xf>
    <xf numFmtId="0" fontId="19" fillId="2" borderId="18" xfId="0" applyNumberFormat="1" applyFont="1" applyFill="1" applyBorder="1" applyAlignment="1" applyProtection="1">
      <alignment horizontal="left" vertical="center" wrapText="1"/>
    </xf>
    <xf numFmtId="0" fontId="3" fillId="2" borderId="20" xfId="0" applyNumberFormat="1" applyFont="1" applyFill="1" applyBorder="1" applyAlignment="1" applyProtection="1">
      <alignment horizontal="left" vertical="center" wrapText="1" indent="1"/>
    </xf>
    <xf numFmtId="0" fontId="24" fillId="2" borderId="28" xfId="0" applyNumberFormat="1" applyFont="1" applyFill="1" applyBorder="1" applyAlignment="1" applyProtection="1">
      <alignment horizontal="left" vertical="center" wrapText="1"/>
    </xf>
    <xf numFmtId="2" fontId="3" fillId="2" borderId="28" xfId="0" applyNumberFormat="1" applyFont="1" applyFill="1" applyBorder="1" applyAlignment="1">
      <alignment horizontal="right"/>
    </xf>
    <xf numFmtId="4" fontId="6" fillId="2" borderId="28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24" fillId="2" borderId="31" xfId="0" applyNumberFormat="1" applyFont="1" applyFill="1" applyBorder="1" applyAlignment="1" applyProtection="1">
      <alignment horizontal="left" vertical="center" wrapText="1"/>
    </xf>
    <xf numFmtId="2" fontId="6" fillId="2" borderId="31" xfId="0" applyNumberFormat="1" applyFont="1" applyFill="1" applyBorder="1" applyAlignment="1">
      <alignment horizontal="right"/>
    </xf>
    <xf numFmtId="2" fontId="6" fillId="2" borderId="3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2" fontId="0" fillId="0" borderId="4" xfId="0" applyNumberFormat="1" applyBorder="1"/>
    <xf numFmtId="164" fontId="6" fillId="0" borderId="3" xfId="1" applyFont="1" applyFill="1" applyBorder="1" applyAlignment="1">
      <alignment horizontal="right" inden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right" vertical="center" wrapText="1"/>
    </xf>
    <xf numFmtId="0" fontId="19" fillId="2" borderId="2" xfId="0" applyNumberFormat="1" applyFont="1" applyFill="1" applyBorder="1" applyAlignment="1" applyProtection="1">
      <alignment horizontal="right" vertical="center" wrapText="1"/>
    </xf>
    <xf numFmtId="0" fontId="19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7" xfId="0" applyNumberFormat="1" applyFont="1" applyFill="1" applyBorder="1" applyAlignment="1" applyProtection="1">
      <alignment horizontal="left" vertical="center" wrapText="1"/>
    </xf>
    <xf numFmtId="0" fontId="6" fillId="2" borderId="28" xfId="0" applyNumberFormat="1" applyFont="1" applyFill="1" applyBorder="1" applyAlignment="1" applyProtection="1">
      <alignment horizontal="left" vertical="center" wrapText="1"/>
    </xf>
    <xf numFmtId="0" fontId="6" fillId="2" borderId="29" xfId="0" applyNumberFormat="1" applyFont="1" applyFill="1" applyBorder="1" applyAlignment="1" applyProtection="1">
      <alignment horizontal="left" vertical="center" wrapText="1"/>
    </xf>
    <xf numFmtId="0" fontId="6" fillId="2" borderId="30" xfId="0" applyNumberFormat="1" applyFont="1" applyFill="1" applyBorder="1" applyAlignment="1" applyProtection="1">
      <alignment horizontal="left" vertical="center" wrapText="1"/>
    </xf>
    <xf numFmtId="0" fontId="6" fillId="2" borderId="3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2" borderId="25" xfId="0" applyNumberFormat="1" applyFont="1" applyFill="1" applyBorder="1" applyAlignment="1" applyProtection="1">
      <alignment horizontal="left" vertical="center" wrapText="1"/>
    </xf>
    <xf numFmtId="0" fontId="6" fillId="2" borderId="22" xfId="0" applyNumberFormat="1" applyFont="1" applyFill="1" applyBorder="1" applyAlignment="1" applyProtection="1">
      <alignment horizontal="left" vertical="center" wrapText="1"/>
    </xf>
    <xf numFmtId="0" fontId="6" fillId="2" borderId="23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workbookViewId="0">
      <selection activeCell="A2" sqref="A2"/>
    </sheetView>
  </sheetViews>
  <sheetFormatPr defaultRowHeight="15" x14ac:dyDescent="0.25"/>
  <cols>
    <col min="5" max="5" width="13.7109375" customWidth="1"/>
    <col min="6" max="6" width="15.85546875" customWidth="1"/>
    <col min="7" max="7" width="17.140625" customWidth="1"/>
    <col min="8" max="8" width="18" customWidth="1"/>
    <col min="9" max="9" width="22" customWidth="1"/>
    <col min="10" max="10" width="18.5703125" customWidth="1"/>
    <col min="11" max="11" width="19.28515625" customWidth="1"/>
    <col min="12" max="12" width="17.42578125" customWidth="1"/>
    <col min="13" max="14" width="17.140625" customWidth="1"/>
    <col min="15" max="15" width="19.7109375" customWidth="1"/>
  </cols>
  <sheetData>
    <row r="1" spans="1:15" ht="42" customHeight="1" x14ac:dyDescent="0.25">
      <c r="A1" s="271" t="s">
        <v>201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84"/>
    </row>
    <row r="2" spans="1:15" ht="18" customHeight="1" x14ac:dyDescent="0.25">
      <c r="A2" s="4"/>
      <c r="B2" s="4"/>
      <c r="C2" s="4"/>
      <c r="D2" s="4"/>
      <c r="E2" s="4"/>
      <c r="F2" s="4"/>
      <c r="G2" s="29"/>
      <c r="H2" s="4"/>
      <c r="I2" s="29"/>
      <c r="J2" s="4"/>
      <c r="K2" s="29"/>
      <c r="L2" s="4"/>
      <c r="M2" s="29"/>
      <c r="N2" s="4"/>
      <c r="O2" s="29"/>
    </row>
    <row r="3" spans="1:15" ht="15.75" x14ac:dyDescent="0.25">
      <c r="A3" s="271" t="s">
        <v>36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88"/>
      <c r="M3" s="288"/>
      <c r="N3" s="288"/>
      <c r="O3" s="86"/>
    </row>
    <row r="4" spans="1:15" ht="18" x14ac:dyDescent="0.25">
      <c r="A4" s="4"/>
      <c r="B4" s="4"/>
      <c r="C4" s="4"/>
      <c r="D4" s="4"/>
      <c r="E4" s="4"/>
      <c r="F4" s="4"/>
      <c r="G4" s="29"/>
      <c r="H4" s="4"/>
      <c r="I4" s="29"/>
      <c r="J4" s="4"/>
      <c r="K4" s="29"/>
      <c r="L4" s="5"/>
      <c r="M4" s="5"/>
      <c r="N4" s="5"/>
      <c r="O4" s="5"/>
    </row>
    <row r="5" spans="1:15" ht="18" customHeight="1" x14ac:dyDescent="0.25">
      <c r="A5" s="271" t="s">
        <v>44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43" t="s">
        <v>47</v>
      </c>
    </row>
    <row r="6" spans="1:15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7"/>
      <c r="L6" s="7"/>
      <c r="M6" s="7"/>
      <c r="O6" s="104"/>
    </row>
    <row r="7" spans="1:15" ht="38.25" x14ac:dyDescent="0.25">
      <c r="A7" s="33"/>
      <c r="B7" s="34"/>
      <c r="C7" s="34"/>
      <c r="D7" s="35"/>
      <c r="E7" s="36"/>
      <c r="F7" s="3" t="s">
        <v>159</v>
      </c>
      <c r="G7" s="3" t="s">
        <v>158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</row>
    <row r="8" spans="1:15" x14ac:dyDescent="0.25">
      <c r="A8" s="289" t="s">
        <v>0</v>
      </c>
      <c r="B8" s="285"/>
      <c r="C8" s="285"/>
      <c r="D8" s="285"/>
      <c r="E8" s="290"/>
      <c r="F8" s="96">
        <v>1225327.6100000001</v>
      </c>
      <c r="G8" s="96">
        <v>9232230.8800000008</v>
      </c>
      <c r="H8" s="97">
        <v>1346630.96</v>
      </c>
      <c r="I8" s="110">
        <v>10146191.189999999</v>
      </c>
      <c r="J8" s="96">
        <v>1719230.39</v>
      </c>
      <c r="K8" s="96">
        <f>J8*7.5345</f>
        <v>12953541.373454999</v>
      </c>
      <c r="L8" s="96">
        <v>1719230.39</v>
      </c>
      <c r="M8" s="96">
        <f>L8*7.5345</f>
        <v>12953541.373454999</v>
      </c>
      <c r="N8" s="96">
        <v>1719230.39</v>
      </c>
      <c r="O8" s="96">
        <f>N8*7.5345</f>
        <v>12953541.373454999</v>
      </c>
    </row>
    <row r="9" spans="1:15" x14ac:dyDescent="0.25">
      <c r="A9" s="281" t="s">
        <v>1</v>
      </c>
      <c r="B9" s="274"/>
      <c r="C9" s="274"/>
      <c r="D9" s="274"/>
      <c r="E9" s="287"/>
      <c r="F9" s="98">
        <v>1225327.6100000001</v>
      </c>
      <c r="G9" s="98">
        <v>9232230.8800000008</v>
      </c>
      <c r="H9" s="99">
        <v>1346630.96</v>
      </c>
      <c r="I9" s="111">
        <v>10146191.189999999</v>
      </c>
      <c r="J9" s="98">
        <v>1719230.39</v>
      </c>
      <c r="K9" s="211">
        <v>12953541.369999999</v>
      </c>
      <c r="L9" s="98">
        <v>1719230.39</v>
      </c>
      <c r="M9" s="211">
        <v>12953541.369999999</v>
      </c>
      <c r="N9" s="98">
        <v>1719230.39</v>
      </c>
      <c r="O9" s="211">
        <v>12953541.369999999</v>
      </c>
    </row>
    <row r="10" spans="1:15" x14ac:dyDescent="0.25">
      <c r="A10" s="291" t="s">
        <v>2</v>
      </c>
      <c r="B10" s="287"/>
      <c r="C10" s="287"/>
      <c r="D10" s="287"/>
      <c r="E10" s="287"/>
      <c r="F10" s="98"/>
      <c r="G10" s="98"/>
      <c r="H10" s="98"/>
      <c r="I10" s="112"/>
      <c r="J10" s="98"/>
      <c r="K10" s="98"/>
      <c r="L10" s="98"/>
      <c r="M10" s="98"/>
      <c r="N10" s="98"/>
      <c r="O10" s="98"/>
    </row>
    <row r="11" spans="1:15" x14ac:dyDescent="0.25">
      <c r="A11" s="44" t="s">
        <v>3</v>
      </c>
      <c r="B11" s="45"/>
      <c r="C11" s="45"/>
      <c r="D11" s="45"/>
      <c r="E11" s="45"/>
      <c r="F11" s="96">
        <v>1225327.6100000001</v>
      </c>
      <c r="G11" s="96">
        <v>9232230.8800000008</v>
      </c>
      <c r="H11" s="96">
        <v>1346630.96</v>
      </c>
      <c r="I11" s="95">
        <v>10146191.130000001</v>
      </c>
      <c r="J11" s="96">
        <v>1719230.39</v>
      </c>
      <c r="K11" s="96">
        <v>12878196.369999999</v>
      </c>
      <c r="L11" s="96">
        <v>1719230.39</v>
      </c>
      <c r="M11" s="96">
        <v>12878196.369999999</v>
      </c>
      <c r="N11" s="96">
        <v>1719230.39</v>
      </c>
      <c r="O11" s="96">
        <v>12878196.369999999</v>
      </c>
    </row>
    <row r="12" spans="1:15" x14ac:dyDescent="0.25">
      <c r="A12" s="273" t="s">
        <v>4</v>
      </c>
      <c r="B12" s="274"/>
      <c r="C12" s="274"/>
      <c r="D12" s="274"/>
      <c r="E12" s="274"/>
      <c r="F12" s="98">
        <v>1163151.32</v>
      </c>
      <c r="G12" s="98">
        <v>8763763.6199999992</v>
      </c>
      <c r="H12" s="98">
        <v>1332031.47</v>
      </c>
      <c r="I12" s="268">
        <v>10036191.130000001</v>
      </c>
      <c r="J12" s="98">
        <v>1704630.88</v>
      </c>
      <c r="K12" s="98">
        <v>12768196.369999999</v>
      </c>
      <c r="L12" s="98">
        <v>1704630.88</v>
      </c>
      <c r="M12" s="98">
        <v>12768196.369999999</v>
      </c>
      <c r="N12" s="98">
        <v>1704630.88</v>
      </c>
      <c r="O12" s="98">
        <v>12768196.369999999</v>
      </c>
    </row>
    <row r="13" spans="1:15" x14ac:dyDescent="0.25">
      <c r="A13" s="286" t="s">
        <v>5</v>
      </c>
      <c r="B13" s="287"/>
      <c r="C13" s="287"/>
      <c r="D13" s="287"/>
      <c r="E13" s="287"/>
      <c r="F13" s="100">
        <v>62176.29</v>
      </c>
      <c r="G13" s="100">
        <v>468467.26</v>
      </c>
      <c r="H13" s="100">
        <v>14599.51</v>
      </c>
      <c r="I13" s="100">
        <v>110000</v>
      </c>
      <c r="J13" s="100">
        <v>14599.51</v>
      </c>
      <c r="K13" s="100">
        <v>110000</v>
      </c>
      <c r="L13" s="100">
        <v>14599.51</v>
      </c>
      <c r="M13" s="100">
        <v>110000</v>
      </c>
      <c r="N13" s="100">
        <v>14599.51</v>
      </c>
      <c r="O13" s="100">
        <v>110000</v>
      </c>
    </row>
    <row r="14" spans="1:15" x14ac:dyDescent="0.25">
      <c r="A14" s="284" t="s">
        <v>6</v>
      </c>
      <c r="B14" s="285"/>
      <c r="C14" s="285"/>
      <c r="D14" s="285"/>
      <c r="E14" s="285"/>
      <c r="F14" s="95">
        <v>0</v>
      </c>
      <c r="G14" s="95"/>
      <c r="H14" s="95">
        <v>0</v>
      </c>
      <c r="I14" s="95"/>
      <c r="J14" s="101">
        <v>0</v>
      </c>
      <c r="K14" s="101"/>
      <c r="L14" s="101">
        <v>0</v>
      </c>
      <c r="M14" s="101"/>
      <c r="N14" s="101">
        <v>0</v>
      </c>
      <c r="O14" s="101"/>
    </row>
    <row r="15" spans="1:15" ht="18" x14ac:dyDescent="0.25">
      <c r="A15" s="4"/>
      <c r="B15" s="8"/>
      <c r="C15" s="8"/>
      <c r="D15" s="8"/>
      <c r="E15" s="8"/>
      <c r="F15" s="102"/>
      <c r="G15" s="102"/>
      <c r="H15" s="102"/>
      <c r="I15" s="102"/>
      <c r="J15" s="103"/>
      <c r="K15" s="103"/>
      <c r="L15" s="103"/>
      <c r="M15" s="103"/>
      <c r="N15" s="103"/>
      <c r="O15" s="103"/>
    </row>
    <row r="16" spans="1:15" ht="18" customHeight="1" x14ac:dyDescent="0.25">
      <c r="A16" s="271" t="s">
        <v>45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85"/>
    </row>
    <row r="17" spans="1:15" ht="18" x14ac:dyDescent="0.25">
      <c r="A17" s="29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</row>
    <row r="18" spans="1:15" ht="25.5" x14ac:dyDescent="0.25">
      <c r="A18" s="33"/>
      <c r="B18" s="34"/>
      <c r="C18" s="34"/>
      <c r="D18" s="35"/>
      <c r="E18" s="36"/>
      <c r="F18" s="3" t="s">
        <v>12</v>
      </c>
      <c r="G18" s="3"/>
      <c r="H18" s="3" t="s">
        <v>13</v>
      </c>
      <c r="I18" s="3"/>
      <c r="J18" s="3" t="s">
        <v>50</v>
      </c>
      <c r="K18" s="3"/>
      <c r="L18" s="3" t="s">
        <v>51</v>
      </c>
      <c r="M18" s="3"/>
      <c r="N18" s="3" t="s">
        <v>52</v>
      </c>
      <c r="O18" s="105"/>
    </row>
    <row r="19" spans="1:15" ht="15.75" customHeight="1" x14ac:dyDescent="0.25">
      <c r="A19" s="281" t="s">
        <v>8</v>
      </c>
      <c r="B19" s="282"/>
      <c r="C19" s="282"/>
      <c r="D19" s="282"/>
      <c r="E19" s="283"/>
      <c r="F19" s="38"/>
      <c r="G19" s="38"/>
      <c r="H19" s="38"/>
      <c r="I19" s="38"/>
      <c r="J19" s="38"/>
      <c r="K19" s="38"/>
      <c r="L19" s="38"/>
      <c r="M19" s="38"/>
      <c r="N19" s="38"/>
      <c r="O19" s="106"/>
    </row>
    <row r="20" spans="1:15" ht="31.9" customHeight="1" x14ac:dyDescent="0.25">
      <c r="A20" s="281" t="s">
        <v>9</v>
      </c>
      <c r="B20" s="274"/>
      <c r="C20" s="274"/>
      <c r="D20" s="274"/>
      <c r="E20" s="274"/>
      <c r="F20" s="38"/>
      <c r="G20" s="38"/>
      <c r="H20" s="38"/>
      <c r="I20" s="38"/>
      <c r="J20" s="38"/>
      <c r="K20" s="38"/>
      <c r="L20" s="38"/>
      <c r="M20" s="38"/>
      <c r="N20" s="38"/>
      <c r="O20" s="106"/>
    </row>
    <row r="21" spans="1:15" ht="26.45" customHeight="1" x14ac:dyDescent="0.25">
      <c r="A21" s="284" t="s">
        <v>10</v>
      </c>
      <c r="B21" s="285"/>
      <c r="C21" s="285"/>
      <c r="D21" s="285"/>
      <c r="E21" s="285"/>
      <c r="F21" s="37">
        <v>0</v>
      </c>
      <c r="G21" s="37"/>
      <c r="H21" s="37">
        <v>0</v>
      </c>
      <c r="I21" s="37"/>
      <c r="J21" s="37">
        <v>0</v>
      </c>
      <c r="K21" s="37"/>
      <c r="L21" s="37">
        <v>0</v>
      </c>
      <c r="M21" s="37"/>
      <c r="N21" s="37">
        <v>0</v>
      </c>
      <c r="O21" s="107"/>
    </row>
    <row r="22" spans="1:15" ht="18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</row>
    <row r="23" spans="1:15" ht="18" customHeight="1" x14ac:dyDescent="0.25">
      <c r="A23" s="271" t="s">
        <v>59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85"/>
    </row>
    <row r="24" spans="1:15" ht="18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</row>
    <row r="25" spans="1:15" ht="25.5" x14ac:dyDescent="0.25">
      <c r="A25" s="33"/>
      <c r="B25" s="34"/>
      <c r="C25" s="34"/>
      <c r="D25" s="35"/>
      <c r="E25" s="36"/>
      <c r="F25" s="3" t="s">
        <v>12</v>
      </c>
      <c r="G25" s="3"/>
      <c r="H25" s="3" t="s">
        <v>13</v>
      </c>
      <c r="I25" s="3"/>
      <c r="J25" s="3" t="s">
        <v>50</v>
      </c>
      <c r="K25" s="3"/>
      <c r="L25" s="3" t="s">
        <v>51</v>
      </c>
      <c r="M25" s="3"/>
      <c r="N25" s="3" t="s">
        <v>52</v>
      </c>
      <c r="O25" s="105"/>
    </row>
    <row r="26" spans="1:15" x14ac:dyDescent="0.25">
      <c r="A26" s="275" t="s">
        <v>46</v>
      </c>
      <c r="B26" s="276"/>
      <c r="C26" s="276"/>
      <c r="D26" s="276"/>
      <c r="E26" s="277"/>
      <c r="F26" s="40"/>
      <c r="G26" s="40"/>
      <c r="H26" s="40"/>
      <c r="I26" s="40"/>
      <c r="J26" s="40"/>
      <c r="K26" s="40"/>
      <c r="L26" s="40"/>
      <c r="M26" s="40"/>
      <c r="N26" s="41"/>
      <c r="O26" s="108"/>
    </row>
    <row r="27" spans="1:15" ht="30" customHeight="1" x14ac:dyDescent="0.25">
      <c r="A27" s="278" t="s">
        <v>7</v>
      </c>
      <c r="B27" s="279"/>
      <c r="C27" s="279"/>
      <c r="D27" s="279"/>
      <c r="E27" s="280"/>
      <c r="F27" s="42"/>
      <c r="G27" s="42"/>
      <c r="H27" s="42"/>
      <c r="I27" s="42"/>
      <c r="J27" s="42"/>
      <c r="K27" s="42"/>
      <c r="L27" s="42"/>
      <c r="M27" s="42"/>
      <c r="N27" s="39"/>
      <c r="O27" s="109"/>
    </row>
    <row r="30" spans="1:15" x14ac:dyDescent="0.25">
      <c r="A30" s="273" t="s">
        <v>11</v>
      </c>
      <c r="B30" s="274"/>
      <c r="C30" s="274"/>
      <c r="D30" s="274"/>
      <c r="E30" s="274"/>
      <c r="F30" s="38">
        <v>0</v>
      </c>
      <c r="G30" s="38"/>
      <c r="H30" s="38">
        <v>0</v>
      </c>
      <c r="I30" s="38"/>
      <c r="J30" s="38">
        <v>0</v>
      </c>
      <c r="K30" s="38"/>
      <c r="L30" s="38">
        <v>0</v>
      </c>
      <c r="M30" s="38"/>
      <c r="N30" s="38">
        <v>0</v>
      </c>
      <c r="O30" s="106"/>
    </row>
    <row r="31" spans="1:15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9.25" customHeight="1" x14ac:dyDescent="0.25">
      <c r="A32" s="269" t="s">
        <v>60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87"/>
    </row>
    <row r="33" spans="1:15" ht="8.25" customHeight="1" x14ac:dyDescent="0.25"/>
    <row r="34" spans="1:15" x14ac:dyDescent="0.25">
      <c r="A34" s="269" t="s">
        <v>48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87"/>
    </row>
    <row r="35" spans="1:15" ht="8.25" customHeight="1" x14ac:dyDescent="0.25"/>
    <row r="36" spans="1:15" ht="29.25" customHeight="1" x14ac:dyDescent="0.25">
      <c r="A36" s="269" t="s">
        <v>49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87"/>
    </row>
  </sheetData>
  <mergeCells count="20">
    <mergeCell ref="A12:E12"/>
    <mergeCell ref="A5:N5"/>
    <mergeCell ref="A16:N16"/>
    <mergeCell ref="A1:N1"/>
    <mergeCell ref="A3:N3"/>
    <mergeCell ref="A8:E8"/>
    <mergeCell ref="A9:E9"/>
    <mergeCell ref="A10:E10"/>
    <mergeCell ref="A19:E19"/>
    <mergeCell ref="A20:E20"/>
    <mergeCell ref="A21:E21"/>
    <mergeCell ref="A13:E13"/>
    <mergeCell ref="A14:E14"/>
    <mergeCell ref="A36:N36"/>
    <mergeCell ref="A23:N23"/>
    <mergeCell ref="A32:N32"/>
    <mergeCell ref="A30:E30"/>
    <mergeCell ref="A34:N34"/>
    <mergeCell ref="A26:E26"/>
    <mergeCell ref="A27:E27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4"/>
  <sheetViews>
    <sheetView zoomScale="102" zoomScaleNormal="102" zoomScaleSheetLayoutView="73" workbookViewId="0">
      <selection activeCell="A2" sqref="A2"/>
    </sheetView>
  </sheetViews>
  <sheetFormatPr defaultRowHeight="15" x14ac:dyDescent="0.25"/>
  <cols>
    <col min="1" max="1" width="11.28515625" customWidth="1"/>
    <col min="2" max="2" width="13" customWidth="1"/>
    <col min="3" max="3" width="5.42578125" bestFit="1" customWidth="1"/>
    <col min="4" max="4" width="38.42578125" customWidth="1"/>
    <col min="5" max="5" width="27.5703125" customWidth="1"/>
    <col min="6" max="6" width="38.42578125" customWidth="1"/>
    <col min="7" max="9" width="25.28515625" customWidth="1"/>
  </cols>
  <sheetData>
    <row r="1" spans="1:9" ht="42" customHeight="1" x14ac:dyDescent="0.25">
      <c r="A1" s="271" t="s">
        <v>202</v>
      </c>
      <c r="B1" s="271"/>
      <c r="C1" s="271"/>
      <c r="D1" s="271"/>
      <c r="E1" s="271"/>
      <c r="F1" s="271"/>
      <c r="G1" s="271"/>
      <c r="H1" s="271"/>
      <c r="I1" s="27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71" t="s">
        <v>36</v>
      </c>
      <c r="B3" s="271"/>
      <c r="C3" s="271"/>
      <c r="D3" s="271"/>
      <c r="E3" s="271"/>
      <c r="F3" s="271"/>
      <c r="G3" s="271"/>
      <c r="H3" s="288"/>
      <c r="I3" s="28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71" t="s">
        <v>15</v>
      </c>
      <c r="B5" s="272"/>
      <c r="C5" s="272"/>
      <c r="D5" s="272"/>
      <c r="E5" s="272"/>
      <c r="F5" s="272"/>
      <c r="G5" s="272"/>
      <c r="H5" s="272"/>
      <c r="I5" s="27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271" t="s">
        <v>138</v>
      </c>
      <c r="B7" s="310"/>
      <c r="C7" s="310"/>
      <c r="D7" s="310"/>
      <c r="E7" s="310"/>
      <c r="F7" s="310"/>
      <c r="G7" s="310"/>
      <c r="H7" s="310"/>
      <c r="I7" s="310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69.599999999999994" customHeight="1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50</v>
      </c>
      <c r="H9" s="25" t="s">
        <v>51</v>
      </c>
      <c r="I9" s="25" t="s">
        <v>52</v>
      </c>
    </row>
    <row r="10" spans="1:9" ht="36" customHeight="1" x14ac:dyDescent="0.25">
      <c r="A10" s="12">
        <v>6</v>
      </c>
      <c r="B10" s="12"/>
      <c r="C10" s="12"/>
      <c r="D10" s="12" t="s">
        <v>19</v>
      </c>
      <c r="E10" s="64">
        <f>E11+E18+E21+E34+E43</f>
        <v>1225327.6099999999</v>
      </c>
      <c r="F10" s="64">
        <f>F11+F18+F21+F34+F43</f>
        <v>1346630.9770137367</v>
      </c>
      <c r="G10" s="64">
        <f>G11+G18+G21+G30+G34++G39+G43</f>
        <v>1719230.4000000004</v>
      </c>
      <c r="H10" s="64">
        <f>H11+H18+H21+H30+H34++H39+H43</f>
        <v>1719230.4000000004</v>
      </c>
      <c r="I10" s="64">
        <f t="shared" ref="I10" si="0">I11+I18+I21+I30+I34++I39+I43</f>
        <v>1719230.4000000004</v>
      </c>
    </row>
    <row r="11" spans="1:9" ht="25.5" x14ac:dyDescent="0.25">
      <c r="A11" s="12"/>
      <c r="B11" s="12">
        <v>63</v>
      </c>
      <c r="C11" s="17"/>
      <c r="D11" s="17" t="s">
        <v>54</v>
      </c>
      <c r="E11" s="64">
        <f>E14+E15+E16</f>
        <v>1023256.14</v>
      </c>
      <c r="F11" s="64">
        <f>F14+F15+F16</f>
        <v>1146571.6371358419</v>
      </c>
      <c r="G11" s="64">
        <f>G14+G15+G16</f>
        <v>1482823.8</v>
      </c>
      <c r="H11" s="64">
        <f t="shared" ref="H11:I11" si="1">H14+H15+H16</f>
        <v>1482823.8</v>
      </c>
      <c r="I11" s="64">
        <f t="shared" si="1"/>
        <v>1482823.8</v>
      </c>
    </row>
    <row r="12" spans="1:9" x14ac:dyDescent="0.25">
      <c r="A12" s="13"/>
      <c r="B12" s="13"/>
      <c r="C12" s="14">
        <v>501</v>
      </c>
      <c r="D12" s="14" t="s">
        <v>56</v>
      </c>
      <c r="E12" s="9"/>
      <c r="F12" s="63"/>
      <c r="G12" s="10"/>
      <c r="H12" s="10"/>
      <c r="I12" s="10"/>
    </row>
    <row r="13" spans="1:9" x14ac:dyDescent="0.25">
      <c r="A13" s="13"/>
      <c r="B13" s="32">
        <v>636</v>
      </c>
      <c r="C13" s="14">
        <v>501</v>
      </c>
      <c r="D13" s="14" t="s">
        <v>54</v>
      </c>
      <c r="E13" s="68">
        <f>SUM(E14:E15)</f>
        <v>1007033.28</v>
      </c>
      <c r="F13" s="68">
        <f>SUM(F14:F15)</f>
        <v>1096887.6501426771</v>
      </c>
      <c r="G13" s="68">
        <f>SUM(G14:G15)</f>
        <v>1392558.26</v>
      </c>
      <c r="H13" s="68">
        <f t="shared" ref="H13" si="2">SUM(H14:H15)</f>
        <v>1392558.26</v>
      </c>
      <c r="I13" s="68">
        <f t="shared" ref="I13" si="3">SUM(I14:I15)</f>
        <v>1392558.26</v>
      </c>
    </row>
    <row r="14" spans="1:9" x14ac:dyDescent="0.25">
      <c r="A14" s="13"/>
      <c r="B14" s="13">
        <v>636131</v>
      </c>
      <c r="C14" s="14">
        <v>501</v>
      </c>
      <c r="D14" s="14" t="s">
        <v>91</v>
      </c>
      <c r="E14" s="61">
        <v>999659.23</v>
      </c>
      <c r="F14" s="63">
        <f>8204500/7.5345</f>
        <v>1088924.2816377995</v>
      </c>
      <c r="G14" s="63">
        <v>1384594.89</v>
      </c>
      <c r="H14" s="63">
        <v>1384594.89</v>
      </c>
      <c r="I14" s="63">
        <v>1384594.89</v>
      </c>
    </row>
    <row r="15" spans="1:9" x14ac:dyDescent="0.25">
      <c r="A15" s="13"/>
      <c r="B15" s="13">
        <v>636221</v>
      </c>
      <c r="C15" s="14">
        <v>501</v>
      </c>
      <c r="D15" s="14" t="s">
        <v>92</v>
      </c>
      <c r="E15" s="61">
        <v>7374.05</v>
      </c>
      <c r="F15" s="63">
        <f>60000/7.5345</f>
        <v>7963.3685048775624</v>
      </c>
      <c r="G15" s="63">
        <v>7963.37</v>
      </c>
      <c r="H15" s="63">
        <v>7963.37</v>
      </c>
      <c r="I15" s="63">
        <v>7963.37</v>
      </c>
    </row>
    <row r="16" spans="1:9" ht="25.5" x14ac:dyDescent="0.25">
      <c r="A16" s="13"/>
      <c r="B16" s="32">
        <v>639</v>
      </c>
      <c r="C16" s="14">
        <v>54</v>
      </c>
      <c r="D16" s="19" t="s">
        <v>93</v>
      </c>
      <c r="E16" s="62">
        <v>16222.86</v>
      </c>
      <c r="F16" s="64">
        <f>374344/7.5345</f>
        <v>49683.98699316477</v>
      </c>
      <c r="G16" s="64">
        <v>90265.54</v>
      </c>
      <c r="H16" s="64">
        <v>90265.54</v>
      </c>
      <c r="I16" s="64">
        <v>90265.54</v>
      </c>
    </row>
    <row r="17" spans="1:9" ht="38.25" x14ac:dyDescent="0.25">
      <c r="A17" s="13"/>
      <c r="B17" s="13">
        <v>6393</v>
      </c>
      <c r="C17" s="14">
        <v>54</v>
      </c>
      <c r="D17" s="19" t="s">
        <v>94</v>
      </c>
      <c r="E17" s="61">
        <v>16222.86</v>
      </c>
      <c r="F17" s="63">
        <f>374344/7.5345</f>
        <v>49683.98699316477</v>
      </c>
      <c r="G17" s="63">
        <v>90265.54</v>
      </c>
      <c r="H17" s="63">
        <v>90265.54</v>
      </c>
      <c r="I17" s="63">
        <v>90265.54</v>
      </c>
    </row>
    <row r="18" spans="1:9" ht="26.25" x14ac:dyDescent="0.25">
      <c r="A18" s="13"/>
      <c r="B18" s="32">
        <v>65</v>
      </c>
      <c r="C18" s="14">
        <v>412</v>
      </c>
      <c r="D18" s="69" t="s">
        <v>95</v>
      </c>
      <c r="E18" s="64">
        <f t="shared" ref="E18:E19" si="4">E19</f>
        <v>21728.94</v>
      </c>
      <c r="F18" s="64">
        <f>F19</f>
        <v>33492.600703430886</v>
      </c>
      <c r="G18" s="64">
        <f t="shared" ref="G18:G19" si="5">G19</f>
        <v>33492.6</v>
      </c>
      <c r="H18" s="64">
        <f t="shared" ref="H18:H19" si="6">H19</f>
        <v>33492.6</v>
      </c>
      <c r="I18" s="64">
        <f t="shared" ref="I18:I19" si="7">I19</f>
        <v>33492.6</v>
      </c>
    </row>
    <row r="19" spans="1:9" x14ac:dyDescent="0.25">
      <c r="A19" s="13"/>
      <c r="B19" s="32">
        <v>652</v>
      </c>
      <c r="C19" s="14">
        <v>412</v>
      </c>
      <c r="D19" s="64" t="s">
        <v>96</v>
      </c>
      <c r="E19" s="64">
        <f t="shared" si="4"/>
        <v>21728.94</v>
      </c>
      <c r="F19" s="64">
        <f>F20</f>
        <v>33492.600703430886</v>
      </c>
      <c r="G19" s="64">
        <f t="shared" si="5"/>
        <v>33492.6</v>
      </c>
      <c r="H19" s="64">
        <f t="shared" si="6"/>
        <v>33492.6</v>
      </c>
      <c r="I19" s="64">
        <f t="shared" si="7"/>
        <v>33492.6</v>
      </c>
    </row>
    <row r="20" spans="1:9" x14ac:dyDescent="0.25">
      <c r="A20" s="13"/>
      <c r="B20" s="13">
        <v>6526892</v>
      </c>
      <c r="C20" s="14">
        <v>412</v>
      </c>
      <c r="D20" s="14" t="s">
        <v>97</v>
      </c>
      <c r="E20" s="61">
        <v>21728.94</v>
      </c>
      <c r="F20" s="63">
        <f>252350/7.5345</f>
        <v>33492.600703430886</v>
      </c>
      <c r="G20" s="63">
        <v>33492.6</v>
      </c>
      <c r="H20" s="63">
        <v>33492.6</v>
      </c>
      <c r="I20" s="63">
        <v>33492.6</v>
      </c>
    </row>
    <row r="21" spans="1:9" ht="25.5" x14ac:dyDescent="0.25">
      <c r="A21" s="32"/>
      <c r="B21" s="32">
        <v>66</v>
      </c>
      <c r="C21" s="46">
        <v>31</v>
      </c>
      <c r="D21" s="67" t="s">
        <v>98</v>
      </c>
      <c r="E21" s="64">
        <f>E22+E24</f>
        <v>738.81</v>
      </c>
      <c r="F21" s="64">
        <f>F22+F24</f>
        <v>4139.6243944521866</v>
      </c>
      <c r="G21" s="64">
        <f>G22+G24</f>
        <v>5639.62</v>
      </c>
      <c r="H21" s="64">
        <f t="shared" ref="H21:I21" si="8">H22+H24</f>
        <v>5639.62</v>
      </c>
      <c r="I21" s="64">
        <f t="shared" si="8"/>
        <v>5639.62</v>
      </c>
    </row>
    <row r="22" spans="1:9" ht="25.5" x14ac:dyDescent="0.25">
      <c r="A22" s="32"/>
      <c r="B22" s="32">
        <v>661</v>
      </c>
      <c r="C22" s="46">
        <v>31</v>
      </c>
      <c r="D22" s="67" t="s">
        <v>99</v>
      </c>
      <c r="E22" s="64">
        <f>E23</f>
        <v>738.81</v>
      </c>
      <c r="F22" s="64">
        <f>F23</f>
        <v>3729.5109164509918</v>
      </c>
      <c r="G22" s="64">
        <f>G23</f>
        <v>5229.51</v>
      </c>
      <c r="H22" s="64">
        <f t="shared" ref="H22:I22" si="9">H23</f>
        <v>5229.51</v>
      </c>
      <c r="I22" s="64">
        <f t="shared" si="9"/>
        <v>5229.51</v>
      </c>
    </row>
    <row r="23" spans="1:9" x14ac:dyDescent="0.25">
      <c r="A23" s="13"/>
      <c r="B23" s="13">
        <v>6615101</v>
      </c>
      <c r="C23" s="14">
        <v>31</v>
      </c>
      <c r="D23" s="14" t="s">
        <v>100</v>
      </c>
      <c r="E23" s="61">
        <v>738.81</v>
      </c>
      <c r="F23" s="63">
        <f>28100/7.5345</f>
        <v>3729.5109164509918</v>
      </c>
      <c r="G23" s="63">
        <v>5229.51</v>
      </c>
      <c r="H23" s="63">
        <v>5229.51</v>
      </c>
      <c r="I23" s="63">
        <v>5229.51</v>
      </c>
    </row>
    <row r="24" spans="1:9" ht="25.5" x14ac:dyDescent="0.25">
      <c r="A24" s="32"/>
      <c r="B24" s="32">
        <v>663</v>
      </c>
      <c r="C24" s="46">
        <v>61</v>
      </c>
      <c r="D24" s="67" t="s">
        <v>101</v>
      </c>
      <c r="E24" s="47"/>
      <c r="F24" s="66">
        <f>F25</f>
        <v>410.11347800119449</v>
      </c>
      <c r="G24" s="66">
        <f>G25</f>
        <v>410.11</v>
      </c>
      <c r="H24" s="66">
        <f t="shared" ref="H24:I24" si="10">H25</f>
        <v>410.11</v>
      </c>
      <c r="I24" s="66">
        <f t="shared" si="10"/>
        <v>410.11</v>
      </c>
    </row>
    <row r="25" spans="1:9" x14ac:dyDescent="0.25">
      <c r="A25" s="13"/>
      <c r="B25" s="13">
        <v>663134</v>
      </c>
      <c r="C25" s="14">
        <v>61</v>
      </c>
      <c r="D25" s="14" t="s">
        <v>102</v>
      </c>
      <c r="E25" s="9"/>
      <c r="F25" s="55">
        <f>3090/7.5345</f>
        <v>410.11347800119449</v>
      </c>
      <c r="G25" s="63">
        <v>410.11</v>
      </c>
      <c r="H25" s="63">
        <v>410.11</v>
      </c>
      <c r="I25" s="63">
        <v>410.11</v>
      </c>
    </row>
    <row r="26" spans="1:9" x14ac:dyDescent="0.25">
      <c r="A26" s="13"/>
      <c r="B26" s="13"/>
      <c r="C26" s="14"/>
      <c r="D26" s="14"/>
      <c r="E26" s="9"/>
      <c r="F26" s="63"/>
      <c r="G26" s="10"/>
      <c r="H26" s="10"/>
      <c r="I26" s="10"/>
    </row>
    <row r="27" spans="1:9" ht="25.5" x14ac:dyDescent="0.25">
      <c r="A27" s="32"/>
      <c r="B27" s="32">
        <v>67</v>
      </c>
      <c r="C27" s="46"/>
      <c r="D27" s="12" t="s">
        <v>55</v>
      </c>
      <c r="E27" s="47">
        <v>179347.96</v>
      </c>
      <c r="F27" s="64">
        <v>162028.95000000001</v>
      </c>
      <c r="G27" s="48">
        <v>190919.77</v>
      </c>
      <c r="H27" s="48">
        <v>190920</v>
      </c>
      <c r="I27" s="48">
        <v>190920</v>
      </c>
    </row>
    <row r="28" spans="1:9" x14ac:dyDescent="0.25">
      <c r="A28" s="13"/>
      <c r="B28" s="13"/>
      <c r="C28" s="14">
        <v>11</v>
      </c>
      <c r="D28" s="19" t="s">
        <v>57</v>
      </c>
      <c r="E28" s="9"/>
      <c r="F28" s="63"/>
      <c r="G28" s="10"/>
      <c r="H28" s="10"/>
      <c r="I28" s="10"/>
    </row>
    <row r="29" spans="1:9" ht="38.25" x14ac:dyDescent="0.25">
      <c r="A29" s="32"/>
      <c r="B29" s="32">
        <v>671</v>
      </c>
      <c r="C29" s="46">
        <v>11</v>
      </c>
      <c r="D29" s="67" t="s">
        <v>103</v>
      </c>
      <c r="E29" s="68">
        <f>SUM(E30:E33)</f>
        <v>0</v>
      </c>
      <c r="F29" s="68">
        <f>SUM(F30:F33)</f>
        <v>0</v>
      </c>
      <c r="G29" s="68">
        <f>SUM(G30:G33)</f>
        <v>2554.09</v>
      </c>
      <c r="H29" s="68">
        <f>SUM(H30:H33)</f>
        <v>2554.09</v>
      </c>
      <c r="I29" s="68">
        <f>SUM(I30:I33)</f>
        <v>2554.09</v>
      </c>
    </row>
    <row r="30" spans="1:9" ht="38.25" x14ac:dyDescent="0.25">
      <c r="A30" s="13"/>
      <c r="B30" s="13">
        <v>67111011</v>
      </c>
      <c r="C30" s="14">
        <v>11</v>
      </c>
      <c r="D30" s="19" t="s">
        <v>104</v>
      </c>
      <c r="E30" s="61"/>
      <c r="F30" s="64"/>
      <c r="G30" s="63">
        <v>2554.09</v>
      </c>
      <c r="H30" s="63">
        <v>2554.09</v>
      </c>
      <c r="I30" s="63">
        <v>2554.09</v>
      </c>
    </row>
    <row r="31" spans="1:9" x14ac:dyDescent="0.25">
      <c r="A31" s="32"/>
      <c r="B31" s="32"/>
      <c r="C31" s="46"/>
      <c r="D31" s="12"/>
      <c r="E31" s="47"/>
      <c r="F31" s="64"/>
      <c r="G31" s="48"/>
      <c r="H31" s="48"/>
      <c r="I31" s="48"/>
    </row>
    <row r="32" spans="1:9" ht="25.5" x14ac:dyDescent="0.25">
      <c r="A32" s="32"/>
      <c r="B32" s="32">
        <v>67</v>
      </c>
      <c r="C32" s="46"/>
      <c r="D32" s="12" t="s">
        <v>55</v>
      </c>
      <c r="E32" s="47"/>
      <c r="F32" s="64"/>
      <c r="G32" s="48"/>
      <c r="H32" s="48"/>
      <c r="I32" s="48"/>
    </row>
    <row r="33" spans="1:9" x14ac:dyDescent="0.25">
      <c r="A33" s="13"/>
      <c r="B33" s="13"/>
      <c r="C33" s="14">
        <v>12</v>
      </c>
      <c r="D33" s="19" t="s">
        <v>57</v>
      </c>
      <c r="E33" s="9"/>
      <c r="F33" s="63"/>
      <c r="G33" s="10"/>
      <c r="H33" s="10"/>
      <c r="I33" s="10"/>
    </row>
    <row r="34" spans="1:9" ht="38.25" x14ac:dyDescent="0.25">
      <c r="A34" s="32"/>
      <c r="B34" s="32">
        <v>671</v>
      </c>
      <c r="C34" s="46">
        <v>12</v>
      </c>
      <c r="D34" s="67" t="s">
        <v>103</v>
      </c>
      <c r="E34" s="68">
        <f>SUM(E35:E38)</f>
        <v>179287.03</v>
      </c>
      <c r="F34" s="68">
        <f>SUM(F35:F38)</f>
        <v>162028.95478001193</v>
      </c>
      <c r="G34" s="68">
        <f>SUM(G35:G38)</f>
        <v>191194.12</v>
      </c>
      <c r="H34" s="68">
        <f>SUM(H35:H38)</f>
        <v>191194.12</v>
      </c>
      <c r="I34" s="68">
        <f>SUM(I35:I38)</f>
        <v>191194.12</v>
      </c>
    </row>
    <row r="35" spans="1:9" ht="38.25" x14ac:dyDescent="0.25">
      <c r="A35" s="13"/>
      <c r="B35" s="13">
        <v>6711101</v>
      </c>
      <c r="C35" s="14">
        <v>12</v>
      </c>
      <c r="D35" s="19" t="s">
        <v>104</v>
      </c>
      <c r="E35" s="61">
        <v>112502.7</v>
      </c>
      <c r="F35" s="64">
        <f>1142117.14/7.5345</f>
        <v>151584.99435928062</v>
      </c>
      <c r="G35" s="63">
        <v>181194.12</v>
      </c>
      <c r="H35" s="63">
        <v>181194.12</v>
      </c>
      <c r="I35" s="63">
        <v>181194.12</v>
      </c>
    </row>
    <row r="36" spans="1:9" x14ac:dyDescent="0.25">
      <c r="A36" s="13"/>
      <c r="B36" s="13"/>
      <c r="C36" s="14"/>
      <c r="D36" s="19"/>
      <c r="E36" s="61"/>
      <c r="F36" s="64"/>
      <c r="G36" s="63"/>
      <c r="H36" s="63"/>
      <c r="I36" s="63"/>
    </row>
    <row r="37" spans="1:9" ht="25.5" x14ac:dyDescent="0.25">
      <c r="A37" s="13"/>
      <c r="B37" s="13">
        <v>67111017</v>
      </c>
      <c r="C37" s="14">
        <v>13</v>
      </c>
      <c r="D37" s="19" t="s">
        <v>105</v>
      </c>
      <c r="E37" s="61">
        <v>11982.09</v>
      </c>
      <c r="F37" s="63">
        <v>3807.82</v>
      </c>
      <c r="G37" s="63" t="s">
        <v>181</v>
      </c>
      <c r="H37" s="63"/>
      <c r="I37" s="63"/>
    </row>
    <row r="38" spans="1:9" ht="25.5" x14ac:dyDescent="0.25">
      <c r="A38" s="13"/>
      <c r="B38" s="13">
        <v>67121004</v>
      </c>
      <c r="C38" s="14">
        <v>12</v>
      </c>
      <c r="D38" s="19" t="s">
        <v>106</v>
      </c>
      <c r="E38" s="61">
        <v>54802.239999999998</v>
      </c>
      <c r="F38" s="63">
        <f>50000/7.5345</f>
        <v>6636.1404207313026</v>
      </c>
      <c r="G38" s="63">
        <v>10000</v>
      </c>
      <c r="H38" s="63">
        <v>10000</v>
      </c>
      <c r="I38" s="63">
        <v>10000</v>
      </c>
    </row>
    <row r="39" spans="1:9" s="49" customFormat="1" x14ac:dyDescent="0.25">
      <c r="A39" s="32"/>
      <c r="B39" s="32">
        <v>67111028</v>
      </c>
      <c r="C39" s="46">
        <v>17</v>
      </c>
      <c r="D39" s="67" t="s">
        <v>187</v>
      </c>
      <c r="E39" s="47"/>
      <c r="F39" s="48"/>
      <c r="G39" s="48">
        <f>G119</f>
        <v>3128</v>
      </c>
      <c r="H39" s="48">
        <f t="shared" ref="H39:I39" si="11">H119</f>
        <v>3128</v>
      </c>
      <c r="I39" s="48">
        <f t="shared" si="11"/>
        <v>3128</v>
      </c>
    </row>
    <row r="40" spans="1:9" s="49" customFormat="1" x14ac:dyDescent="0.25">
      <c r="A40" s="32"/>
      <c r="B40" s="32"/>
      <c r="C40" s="46"/>
      <c r="D40" s="67"/>
      <c r="E40" s="47"/>
      <c r="F40" s="48"/>
      <c r="G40" s="48"/>
      <c r="H40" s="48"/>
      <c r="I40" s="48"/>
    </row>
    <row r="41" spans="1:9" s="49" customFormat="1" x14ac:dyDescent="0.25">
      <c r="A41" s="32"/>
      <c r="B41" s="32">
        <v>67112</v>
      </c>
      <c r="C41" s="46"/>
      <c r="D41" s="67"/>
      <c r="E41" s="47"/>
      <c r="F41" s="48"/>
      <c r="G41" s="48"/>
      <c r="H41" s="48"/>
      <c r="I41" s="48"/>
    </row>
    <row r="42" spans="1:9" x14ac:dyDescent="0.25">
      <c r="A42" s="13"/>
      <c r="B42" s="13"/>
      <c r="C42" s="14"/>
      <c r="D42" s="19"/>
      <c r="E42" s="9"/>
      <c r="F42" s="10"/>
      <c r="G42" s="10"/>
      <c r="H42" s="10"/>
      <c r="I42" s="10"/>
    </row>
    <row r="43" spans="1:9" ht="25.5" x14ac:dyDescent="0.25">
      <c r="A43" s="15">
        <v>7</v>
      </c>
      <c r="B43" s="16"/>
      <c r="C43" s="16">
        <v>31</v>
      </c>
      <c r="D43" s="30" t="s">
        <v>21</v>
      </c>
      <c r="E43" s="62">
        <v>316.69</v>
      </c>
      <c r="F43" s="64">
        <v>398.16</v>
      </c>
      <c r="G43" s="64">
        <v>398.17</v>
      </c>
      <c r="H43" s="64">
        <v>398.17</v>
      </c>
      <c r="I43" s="64">
        <v>398.17</v>
      </c>
    </row>
    <row r="44" spans="1:9" ht="25.5" x14ac:dyDescent="0.25">
      <c r="A44" s="12"/>
      <c r="B44" s="12">
        <v>72</v>
      </c>
      <c r="C44" s="12">
        <v>31</v>
      </c>
      <c r="D44" s="30" t="s">
        <v>53</v>
      </c>
      <c r="E44" s="62">
        <v>316.69</v>
      </c>
      <c r="F44" s="64">
        <v>398.16</v>
      </c>
      <c r="G44" s="64">
        <v>398.17</v>
      </c>
      <c r="H44" s="64">
        <v>398.17</v>
      </c>
      <c r="I44" s="64">
        <v>398.17</v>
      </c>
    </row>
    <row r="45" spans="1:9" x14ac:dyDescent="0.25">
      <c r="A45" s="12"/>
      <c r="B45" s="12"/>
      <c r="C45" s="46">
        <v>31</v>
      </c>
      <c r="D45" s="46" t="s">
        <v>20</v>
      </c>
      <c r="E45" s="62">
        <v>316.69</v>
      </c>
      <c r="F45" s="64">
        <v>398.16</v>
      </c>
      <c r="G45" s="64">
        <v>398.17</v>
      </c>
      <c r="H45" s="64">
        <v>398.17</v>
      </c>
      <c r="I45" s="64">
        <v>398.17</v>
      </c>
    </row>
    <row r="46" spans="1:9" ht="27" customHeight="1" x14ac:dyDescent="0.25">
      <c r="A46" s="12"/>
      <c r="B46" s="12">
        <v>724</v>
      </c>
      <c r="C46" s="46">
        <v>31</v>
      </c>
      <c r="D46" s="67" t="s">
        <v>107</v>
      </c>
      <c r="E46" s="62">
        <v>316.69</v>
      </c>
      <c r="F46" s="64">
        <f>F47</f>
        <v>398.16</v>
      </c>
      <c r="G46" s="64">
        <f>G47</f>
        <v>398.17</v>
      </c>
      <c r="H46" s="64">
        <f t="shared" ref="H46:I46" si="12">H47</f>
        <v>398.17</v>
      </c>
      <c r="I46" s="64">
        <f t="shared" si="12"/>
        <v>398.17</v>
      </c>
    </row>
    <row r="47" spans="1:9" ht="27" customHeight="1" x14ac:dyDescent="0.25">
      <c r="A47" s="17"/>
      <c r="B47" s="17">
        <v>7241101</v>
      </c>
      <c r="C47" s="17">
        <v>31</v>
      </c>
      <c r="D47" s="17" t="s">
        <v>108</v>
      </c>
      <c r="E47" s="61">
        <v>316.69</v>
      </c>
      <c r="F47" s="63">
        <v>398.16</v>
      </c>
      <c r="G47" s="63">
        <v>398.17</v>
      </c>
      <c r="H47" s="63">
        <v>398.17</v>
      </c>
      <c r="I47" s="63">
        <v>398.17</v>
      </c>
    </row>
    <row r="48" spans="1:9" x14ac:dyDescent="0.25">
      <c r="A48" s="51"/>
      <c r="B48" s="51"/>
      <c r="C48" s="52"/>
      <c r="D48" s="52"/>
      <c r="E48" s="53"/>
      <c r="F48" s="53"/>
      <c r="G48" s="53"/>
      <c r="H48" s="53"/>
      <c r="I48" s="54"/>
    </row>
    <row r="50" spans="1:9" ht="15.75" x14ac:dyDescent="0.25">
      <c r="A50" s="271"/>
      <c r="B50" s="311"/>
      <c r="C50" s="311"/>
      <c r="D50" s="311"/>
      <c r="E50" s="311"/>
      <c r="F50" s="311"/>
      <c r="G50" s="311"/>
      <c r="H50" s="311"/>
      <c r="I50" s="311"/>
    </row>
    <row r="51" spans="1:9" ht="25.5" x14ac:dyDescent="0.25">
      <c r="A51" s="25" t="s">
        <v>16</v>
      </c>
      <c r="B51" s="24" t="s">
        <v>17</v>
      </c>
      <c r="C51" s="24" t="s">
        <v>18</v>
      </c>
      <c r="D51" s="24" t="s">
        <v>14</v>
      </c>
      <c r="E51" s="24" t="s">
        <v>12</v>
      </c>
      <c r="F51" s="25" t="s">
        <v>13</v>
      </c>
      <c r="G51" s="25" t="s">
        <v>50</v>
      </c>
      <c r="H51" s="25" t="s">
        <v>51</v>
      </c>
      <c r="I51" s="25" t="s">
        <v>52</v>
      </c>
    </row>
    <row r="52" spans="1:9" ht="36.6" customHeight="1" x14ac:dyDescent="0.25">
      <c r="A52" s="181"/>
      <c r="B52" s="181"/>
      <c r="C52" s="181"/>
      <c r="D52" s="181"/>
      <c r="E52" s="181"/>
      <c r="F52" s="181"/>
      <c r="G52" s="181"/>
      <c r="H52" s="181"/>
      <c r="I52" s="181"/>
    </row>
    <row r="53" spans="1:9" ht="26.25" thickBot="1" x14ac:dyDescent="0.3">
      <c r="A53" s="307" t="s">
        <v>37</v>
      </c>
      <c r="B53" s="308"/>
      <c r="C53" s="309"/>
      <c r="D53" s="24" t="s">
        <v>38</v>
      </c>
      <c r="E53" s="24" t="s">
        <v>12</v>
      </c>
      <c r="F53" s="25" t="s">
        <v>13</v>
      </c>
      <c r="G53" s="25" t="s">
        <v>50</v>
      </c>
      <c r="H53" s="25" t="s">
        <v>51</v>
      </c>
      <c r="I53" s="25" t="s">
        <v>52</v>
      </c>
    </row>
    <row r="54" spans="1:9" ht="15.75" thickBot="1" x14ac:dyDescent="0.3">
      <c r="A54" s="77"/>
      <c r="B54" s="78"/>
      <c r="C54" s="89"/>
      <c r="D54" s="90" t="s">
        <v>22</v>
      </c>
      <c r="E54" s="152">
        <f>SUM(E56:E64)</f>
        <v>1225327.6138151172</v>
      </c>
      <c r="F54" s="152">
        <f>SUM(F56:F64)</f>
        <v>1346630.9808965425</v>
      </c>
      <c r="G54" s="152">
        <f>SUM(G55:G64)</f>
        <v>1719230.3878731173</v>
      </c>
      <c r="H54" s="152">
        <f>SUM(H55:H64)</f>
        <v>1719230.3878731173</v>
      </c>
      <c r="I54" s="152">
        <f>SUM(I55:I64)</f>
        <v>1719230.3878731173</v>
      </c>
    </row>
    <row r="55" spans="1:9" x14ac:dyDescent="0.25">
      <c r="A55" s="77"/>
      <c r="B55" s="78"/>
      <c r="C55" s="89">
        <v>11</v>
      </c>
      <c r="D55" s="89" t="s">
        <v>151</v>
      </c>
      <c r="E55" s="199"/>
      <c r="F55" s="199"/>
      <c r="G55" s="199">
        <f>G228+G243+G116</f>
        <v>12554.09</v>
      </c>
      <c r="H55" s="199">
        <f t="shared" ref="H55:I55" si="13">H228+H243+H116</f>
        <v>12554.09</v>
      </c>
      <c r="I55" s="199">
        <f t="shared" si="13"/>
        <v>12554.09</v>
      </c>
    </row>
    <row r="56" spans="1:9" x14ac:dyDescent="0.25">
      <c r="A56" s="77"/>
      <c r="B56" s="78"/>
      <c r="C56" s="89">
        <v>12</v>
      </c>
      <c r="D56" s="89" t="s">
        <v>151</v>
      </c>
      <c r="E56" s="153">
        <f>E67+E103</f>
        <v>167366.21624394451</v>
      </c>
      <c r="F56" s="153">
        <f t="shared" ref="F56" si="14">F67+F103</f>
        <v>158221.13</v>
      </c>
      <c r="G56" s="153">
        <f>G67+G103</f>
        <v>181194.12</v>
      </c>
      <c r="H56" s="153">
        <f>H67+H103</f>
        <v>181194.12</v>
      </c>
      <c r="I56" s="153">
        <f t="shared" ref="I56" si="15">I67+I103</f>
        <v>181194.12</v>
      </c>
    </row>
    <row r="57" spans="1:9" x14ac:dyDescent="0.25">
      <c r="A57" s="77"/>
      <c r="B57" s="78"/>
      <c r="C57" s="89">
        <v>13</v>
      </c>
      <c r="D57" s="89" t="s">
        <v>150</v>
      </c>
      <c r="E57" s="154">
        <f>E211+E219</f>
        <v>11982.094365916782</v>
      </c>
      <c r="F57" s="154">
        <f t="shared" ref="F57:I57" si="16">F211+F219</f>
        <v>3807.8173734156217</v>
      </c>
      <c r="G57" s="154">
        <f t="shared" si="16"/>
        <v>0</v>
      </c>
      <c r="H57" s="154">
        <f t="shared" si="16"/>
        <v>0</v>
      </c>
      <c r="I57" s="154">
        <f t="shared" si="16"/>
        <v>0</v>
      </c>
    </row>
    <row r="58" spans="1:9" x14ac:dyDescent="0.25">
      <c r="A58" s="77"/>
      <c r="B58" s="78"/>
      <c r="C58" s="89">
        <v>17</v>
      </c>
      <c r="D58" s="89" t="s">
        <v>189</v>
      </c>
      <c r="E58" s="154"/>
      <c r="F58" s="154"/>
      <c r="G58" s="154">
        <f>G119</f>
        <v>3128</v>
      </c>
      <c r="H58" s="154">
        <f t="shared" ref="H58:I58" si="17">H119</f>
        <v>3128</v>
      </c>
      <c r="I58" s="154">
        <f t="shared" si="17"/>
        <v>3128</v>
      </c>
    </row>
    <row r="59" spans="1:9" x14ac:dyDescent="0.25">
      <c r="A59" s="77"/>
      <c r="B59" s="78"/>
      <c r="C59" s="89">
        <v>31</v>
      </c>
      <c r="D59" s="89" t="s">
        <v>152</v>
      </c>
      <c r="E59" s="154">
        <f>E149+E152++E155+E158+E160+E161+E165+E168+E156</f>
        <v>738.80549472426821</v>
      </c>
      <c r="F59" s="154">
        <f>F149+F152++F155+F158+F160+F161+F165+F168+F156</f>
        <v>4127.6793416948703</v>
      </c>
      <c r="G59" s="154">
        <f>4127.67+1500</f>
        <v>5627.67</v>
      </c>
      <c r="H59" s="154">
        <v>5627.67</v>
      </c>
      <c r="I59" s="154">
        <v>5627.67</v>
      </c>
    </row>
    <row r="60" spans="1:9" x14ac:dyDescent="0.25">
      <c r="A60" s="77"/>
      <c r="B60" s="78"/>
      <c r="C60" s="89">
        <v>412</v>
      </c>
      <c r="D60" s="89" t="s">
        <v>153</v>
      </c>
      <c r="E60" s="154">
        <f>E153+E154</f>
        <v>21728.944190059061</v>
      </c>
      <c r="F60" s="154">
        <f t="shared" ref="F60:I60" si="18">F153+F154</f>
        <v>33492.600703430886</v>
      </c>
      <c r="G60" s="154">
        <f t="shared" si="18"/>
        <v>33492.600703430886</v>
      </c>
      <c r="H60" s="154">
        <f t="shared" si="18"/>
        <v>33492.600703430886</v>
      </c>
      <c r="I60" s="154">
        <f t="shared" si="18"/>
        <v>33492.600703430886</v>
      </c>
    </row>
    <row r="61" spans="1:9" x14ac:dyDescent="0.25">
      <c r="A61" s="77"/>
      <c r="B61" s="78"/>
      <c r="C61" s="89">
        <v>501</v>
      </c>
      <c r="D61" s="89" t="s">
        <v>154</v>
      </c>
      <c r="E61" s="154">
        <f>E123</f>
        <v>1007033.2828986662</v>
      </c>
      <c r="F61" s="154">
        <f>F123</f>
        <v>1096887.6499999999</v>
      </c>
      <c r="G61" s="154">
        <f>G123+G166+G175</f>
        <v>1392558.2593251048</v>
      </c>
      <c r="H61" s="154">
        <f t="shared" ref="H61:I61" si="19">H123+H166+H175</f>
        <v>1392558.2593251048</v>
      </c>
      <c r="I61" s="154">
        <f t="shared" si="19"/>
        <v>1392558.2593251048</v>
      </c>
    </row>
    <row r="62" spans="1:9" x14ac:dyDescent="0.25">
      <c r="A62" s="77"/>
      <c r="B62" s="78"/>
      <c r="C62" s="89">
        <v>54</v>
      </c>
      <c r="D62" s="89" t="s">
        <v>155</v>
      </c>
      <c r="E62" s="154">
        <f>E192+E201</f>
        <v>16222.861503749418</v>
      </c>
      <c r="F62" s="154">
        <v>49683.99</v>
      </c>
      <c r="G62" s="154">
        <f>G233+G248+G188</f>
        <v>90265.53436658041</v>
      </c>
      <c r="H62" s="154">
        <f t="shared" ref="H62:I62" si="20">H233+H248+H188</f>
        <v>90265.53436658041</v>
      </c>
      <c r="I62" s="154">
        <f t="shared" si="20"/>
        <v>90265.53436658041</v>
      </c>
    </row>
    <row r="63" spans="1:9" ht="15.75" customHeight="1" x14ac:dyDescent="0.25">
      <c r="A63" s="77"/>
      <c r="B63" s="78"/>
      <c r="C63" s="89">
        <v>61</v>
      </c>
      <c r="D63" s="89" t="s">
        <v>156</v>
      </c>
      <c r="E63" s="154">
        <f>E163</f>
        <v>255.4091180569381</v>
      </c>
      <c r="F63" s="154">
        <f>F163</f>
        <v>410.11347800119449</v>
      </c>
      <c r="G63" s="154">
        <f t="shared" ref="G63:I63" si="21">G163</f>
        <v>410.11347800119449</v>
      </c>
      <c r="H63" s="154">
        <f t="shared" si="21"/>
        <v>410.11347800119449</v>
      </c>
      <c r="I63" s="154">
        <f t="shared" si="21"/>
        <v>410.11347800119449</v>
      </c>
    </row>
    <row r="64" spans="1:9" ht="15.75" customHeight="1" x14ac:dyDescent="0.25">
      <c r="A64" s="79"/>
      <c r="B64" s="79"/>
      <c r="C64" s="79"/>
      <c r="D64" s="80"/>
      <c r="E64" s="130"/>
      <c r="F64" s="129"/>
      <c r="G64" s="113"/>
      <c r="H64" s="113"/>
      <c r="I64" s="113"/>
    </row>
    <row r="65" spans="1:9" ht="15.75" customHeight="1" x14ac:dyDescent="0.25">
      <c r="A65" s="115" t="s">
        <v>178</v>
      </c>
      <c r="B65" s="119"/>
      <c r="C65" s="117"/>
      <c r="D65" s="78" t="s">
        <v>171</v>
      </c>
      <c r="E65" s="118">
        <v>1225327.6100000001</v>
      </c>
      <c r="F65" s="118">
        <v>1346630.98</v>
      </c>
      <c r="G65" s="118">
        <f>G66+G144+G183</f>
        <v>1697929.0584053358</v>
      </c>
      <c r="H65" s="118">
        <f>H66+H144+H183</f>
        <v>1697929.0584053358</v>
      </c>
      <c r="I65" s="118">
        <f>I66+I144+I183</f>
        <v>1697929.0584053358</v>
      </c>
    </row>
    <row r="66" spans="1:9" ht="15.75" customHeight="1" x14ac:dyDescent="0.25">
      <c r="A66" s="12" t="s">
        <v>179</v>
      </c>
      <c r="B66" s="70" t="s">
        <v>168</v>
      </c>
      <c r="C66" s="17"/>
      <c r="D66" s="17"/>
      <c r="E66" s="62">
        <f t="shared" ref="E66:F66" si="22">E67+E125+E103</f>
        <v>1151311.8516543901</v>
      </c>
      <c r="F66" s="62">
        <f t="shared" si="22"/>
        <v>1227900.6044176784</v>
      </c>
      <c r="G66" s="62">
        <f>G67+G125+G103</f>
        <v>1539698.3339491673</v>
      </c>
      <c r="H66" s="62">
        <f>H67+H125+H103</f>
        <v>1539698.3339491673</v>
      </c>
      <c r="I66" s="62">
        <f t="shared" ref="I66" si="23">I67+I125+I103</f>
        <v>1539698.3339491673</v>
      </c>
    </row>
    <row r="67" spans="1:9" ht="15.75" customHeight="1" x14ac:dyDescent="0.25">
      <c r="A67" s="12" t="s">
        <v>169</v>
      </c>
      <c r="B67" s="70" t="s">
        <v>170</v>
      </c>
      <c r="C67" s="17"/>
      <c r="D67" s="17"/>
      <c r="E67" s="132">
        <f>E68</f>
        <v>112563.97</v>
      </c>
      <c r="F67" s="132">
        <f t="shared" ref="F67:I67" si="24">F68</f>
        <v>151584.99</v>
      </c>
      <c r="G67" s="62">
        <f t="shared" si="24"/>
        <v>181194.12</v>
      </c>
      <c r="H67" s="62">
        <f t="shared" si="24"/>
        <v>181194.12</v>
      </c>
      <c r="I67" s="62">
        <f t="shared" si="24"/>
        <v>181194.12</v>
      </c>
    </row>
    <row r="68" spans="1:9" ht="15.75" customHeight="1" x14ac:dyDescent="0.25">
      <c r="A68" s="13"/>
      <c r="B68" s="13"/>
      <c r="C68" s="46">
        <v>12</v>
      </c>
      <c r="D68" s="46" t="s">
        <v>20</v>
      </c>
      <c r="E68" s="132">
        <f>E69+E93+E98</f>
        <v>112563.97</v>
      </c>
      <c r="F68" s="132">
        <f>F69+F93+F98</f>
        <v>151584.99</v>
      </c>
      <c r="G68" s="62">
        <f>G69+G93+G98</f>
        <v>181194.12</v>
      </c>
      <c r="H68" s="62">
        <f>H69+H93+H98</f>
        <v>181194.12</v>
      </c>
      <c r="I68" s="62">
        <f>I69+I93+I98</f>
        <v>181194.12</v>
      </c>
    </row>
    <row r="69" spans="1:9" s="49" customFormat="1" ht="15.75" customHeight="1" x14ac:dyDescent="0.25">
      <c r="A69" s="13"/>
      <c r="B69" s="13">
        <v>32</v>
      </c>
      <c r="C69" s="14"/>
      <c r="D69" s="13" t="s">
        <v>39</v>
      </c>
      <c r="E69" s="131">
        <f>E71+E74+E80+E89</f>
        <v>53710.39</v>
      </c>
      <c r="F69" s="131">
        <f>F71+F74+F80+F89</f>
        <v>73498.989999999991</v>
      </c>
      <c r="G69" s="61">
        <f>G71+G74+G80+G89</f>
        <v>104397.43</v>
      </c>
      <c r="H69" s="61">
        <f>H71+H74+H80+H89</f>
        <v>104397.43</v>
      </c>
      <c r="I69" s="61">
        <f>I71+I74+I80+I89</f>
        <v>104397.43</v>
      </c>
    </row>
    <row r="70" spans="1:9" ht="15.75" customHeight="1" x14ac:dyDescent="0.25">
      <c r="A70" s="13"/>
      <c r="B70" s="13"/>
      <c r="C70" s="14"/>
      <c r="D70" s="14"/>
      <c r="E70" s="131"/>
      <c r="F70" s="127"/>
      <c r="G70" s="63"/>
      <c r="H70" s="63"/>
      <c r="I70" s="63"/>
    </row>
    <row r="71" spans="1:9" s="49" customFormat="1" ht="15.75" customHeight="1" x14ac:dyDescent="0.25">
      <c r="A71" s="13"/>
      <c r="B71" s="32">
        <v>321</v>
      </c>
      <c r="C71" s="46">
        <v>12</v>
      </c>
      <c r="D71" s="46" t="s">
        <v>62</v>
      </c>
      <c r="E71" s="132">
        <f>SUM(E72:E73)</f>
        <v>924.55</v>
      </c>
      <c r="F71" s="132">
        <f t="shared" ref="F71" si="25">SUM(F72:F73)</f>
        <v>1168</v>
      </c>
      <c r="G71" s="62">
        <f>SUM(G72:G73)</f>
        <v>5500</v>
      </c>
      <c r="H71" s="62">
        <f t="shared" ref="H71:I71" si="26">SUM(H72:H73)</f>
        <v>5500</v>
      </c>
      <c r="I71" s="62">
        <f t="shared" si="26"/>
        <v>5500</v>
      </c>
    </row>
    <row r="72" spans="1:9" ht="33" customHeight="1" x14ac:dyDescent="0.25">
      <c r="A72" s="13"/>
      <c r="B72" s="13">
        <v>3211</v>
      </c>
      <c r="C72" s="14">
        <v>12</v>
      </c>
      <c r="D72" s="14" t="s">
        <v>63</v>
      </c>
      <c r="E72" s="55">
        <v>924.55</v>
      </c>
      <c r="F72" s="127">
        <v>1168</v>
      </c>
      <c r="G72" s="61">
        <v>5500</v>
      </c>
      <c r="H72" s="61">
        <v>5500</v>
      </c>
      <c r="I72" s="61">
        <v>5500</v>
      </c>
    </row>
    <row r="73" spans="1:9" s="49" customFormat="1" ht="15.75" customHeight="1" x14ac:dyDescent="0.25">
      <c r="A73" s="13"/>
      <c r="B73" s="13">
        <v>3212</v>
      </c>
      <c r="C73" s="14">
        <v>12</v>
      </c>
      <c r="D73" s="14" t="s">
        <v>64</v>
      </c>
      <c r="E73" s="131"/>
      <c r="F73" s="127"/>
      <c r="G73" s="63"/>
      <c r="H73" s="63"/>
      <c r="I73" s="63"/>
    </row>
    <row r="74" spans="1:9" s="49" customFormat="1" ht="15.75" customHeight="1" x14ac:dyDescent="0.25">
      <c r="A74" s="13"/>
      <c r="B74" s="32">
        <v>322</v>
      </c>
      <c r="C74" s="46">
        <v>12</v>
      </c>
      <c r="D74" s="46" t="s">
        <v>65</v>
      </c>
      <c r="E74" s="132">
        <f>SUM(E75:E79)</f>
        <v>30766.69</v>
      </c>
      <c r="F74" s="132">
        <f>SUM(F75:F79)</f>
        <v>50076.51</v>
      </c>
      <c r="G74" s="62">
        <f>SUM(G75:G79)</f>
        <v>78874.17</v>
      </c>
      <c r="H74" s="62">
        <f t="shared" ref="H74:I74" si="27">SUM(H75:H79)</f>
        <v>78874.17</v>
      </c>
      <c r="I74" s="62">
        <f t="shared" si="27"/>
        <v>78874.17</v>
      </c>
    </row>
    <row r="75" spans="1:9" s="50" customFormat="1" ht="15.75" customHeight="1" x14ac:dyDescent="0.25">
      <c r="A75" s="13"/>
      <c r="B75" s="13">
        <v>3221</v>
      </c>
      <c r="C75" s="14">
        <v>12</v>
      </c>
      <c r="D75" s="14" t="s">
        <v>66</v>
      </c>
      <c r="E75" s="131">
        <v>7977.78</v>
      </c>
      <c r="F75" s="127">
        <v>6636.32</v>
      </c>
      <c r="G75" s="63">
        <v>7000</v>
      </c>
      <c r="H75" s="63">
        <v>7000</v>
      </c>
      <c r="I75" s="63">
        <v>7000</v>
      </c>
    </row>
    <row r="76" spans="1:9" s="50" customFormat="1" ht="15.75" customHeight="1" x14ac:dyDescent="0.25">
      <c r="A76" s="13"/>
      <c r="B76" s="13">
        <v>3222</v>
      </c>
      <c r="C76" s="14">
        <v>12</v>
      </c>
      <c r="D76" s="14" t="s">
        <v>67</v>
      </c>
      <c r="E76" s="131">
        <v>211.25</v>
      </c>
      <c r="F76" s="127">
        <v>66.37</v>
      </c>
      <c r="G76" s="63">
        <v>13.2</v>
      </c>
      <c r="H76" s="63">
        <v>13.2</v>
      </c>
      <c r="I76" s="63">
        <v>13.2</v>
      </c>
    </row>
    <row r="77" spans="1:9" ht="15.75" customHeight="1" x14ac:dyDescent="0.25">
      <c r="A77" s="13"/>
      <c r="B77" s="13">
        <v>3223</v>
      </c>
      <c r="C77" s="14">
        <v>12</v>
      </c>
      <c r="D77" s="14" t="s">
        <v>68</v>
      </c>
      <c r="E77" s="131">
        <v>19530.099999999999</v>
      </c>
      <c r="F77" s="127">
        <v>40321.19</v>
      </c>
      <c r="G77" s="63">
        <v>64962.8</v>
      </c>
      <c r="H77" s="63">
        <v>64962.8</v>
      </c>
      <c r="I77" s="63">
        <v>64962.8</v>
      </c>
    </row>
    <row r="78" spans="1:9" s="49" customFormat="1" ht="15.75" customHeight="1" x14ac:dyDescent="0.25">
      <c r="A78" s="13"/>
      <c r="B78" s="13">
        <v>3224</v>
      </c>
      <c r="C78" s="14">
        <v>12</v>
      </c>
      <c r="D78" s="14" t="s">
        <v>69</v>
      </c>
      <c r="E78" s="131">
        <v>2738.26</v>
      </c>
      <c r="F78" s="127">
        <v>2654.46</v>
      </c>
      <c r="G78" s="63">
        <v>6500</v>
      </c>
      <c r="H78" s="63">
        <v>6500</v>
      </c>
      <c r="I78" s="63">
        <v>6500</v>
      </c>
    </row>
    <row r="79" spans="1:9" s="49" customFormat="1" ht="15.75" customHeight="1" x14ac:dyDescent="0.25">
      <c r="A79" s="13"/>
      <c r="B79" s="13">
        <v>3225</v>
      </c>
      <c r="C79" s="14">
        <v>12</v>
      </c>
      <c r="D79" s="14" t="s">
        <v>70</v>
      </c>
      <c r="E79" s="131">
        <v>309.3</v>
      </c>
      <c r="F79" s="127">
        <v>398.17</v>
      </c>
      <c r="G79" s="63">
        <v>398.17</v>
      </c>
      <c r="H79" s="63">
        <v>398.17</v>
      </c>
      <c r="I79" s="63">
        <v>398.17</v>
      </c>
    </row>
    <row r="80" spans="1:9" s="49" customFormat="1" ht="34.15" customHeight="1" x14ac:dyDescent="0.25">
      <c r="A80" s="32"/>
      <c r="B80" s="32">
        <v>323</v>
      </c>
      <c r="C80" s="46">
        <v>12</v>
      </c>
      <c r="D80" s="46" t="s">
        <v>71</v>
      </c>
      <c r="E80" s="132">
        <f>SUM(E81:E87)</f>
        <v>20882.59</v>
      </c>
      <c r="F80" s="132">
        <f>SUM(F81:F88)</f>
        <v>20860.89</v>
      </c>
      <c r="G80" s="62">
        <f>SUM(G81:G88)</f>
        <v>19054.379999999997</v>
      </c>
      <c r="H80" s="62">
        <f t="shared" ref="H80:I80" si="28">SUM(H81:H88)</f>
        <v>19054.379999999997</v>
      </c>
      <c r="I80" s="62">
        <f t="shared" si="28"/>
        <v>19054.379999999997</v>
      </c>
    </row>
    <row r="81" spans="1:9" s="49" customFormat="1" ht="15.75" customHeight="1" x14ac:dyDescent="0.25">
      <c r="A81" s="13"/>
      <c r="B81" s="13">
        <v>3231</v>
      </c>
      <c r="C81" s="14">
        <v>12</v>
      </c>
      <c r="D81" s="14" t="s">
        <v>72</v>
      </c>
      <c r="E81" s="131">
        <v>3614.09</v>
      </c>
      <c r="F81" s="127">
        <v>4207.32</v>
      </c>
      <c r="G81" s="63">
        <v>3981.68</v>
      </c>
      <c r="H81" s="63">
        <v>3981.68</v>
      </c>
      <c r="I81" s="63">
        <v>3981.68</v>
      </c>
    </row>
    <row r="82" spans="1:9" s="49" customFormat="1" ht="39" customHeight="1" x14ac:dyDescent="0.25">
      <c r="A82" s="13"/>
      <c r="B82" s="13">
        <v>3232</v>
      </c>
      <c r="C82" s="14">
        <v>12</v>
      </c>
      <c r="D82" s="14" t="s">
        <v>73</v>
      </c>
      <c r="E82" s="131">
        <v>8542.7999999999993</v>
      </c>
      <c r="F82" s="127">
        <v>3536.17</v>
      </c>
      <c r="G82" s="63">
        <v>3318.07</v>
      </c>
      <c r="H82" s="63">
        <v>3318.07</v>
      </c>
      <c r="I82" s="63">
        <v>3318.07</v>
      </c>
    </row>
    <row r="83" spans="1:9" ht="42.6" customHeight="1" x14ac:dyDescent="0.25">
      <c r="A83" s="13"/>
      <c r="B83" s="13">
        <v>3233</v>
      </c>
      <c r="C83" s="14">
        <v>12</v>
      </c>
      <c r="D83" s="14" t="s">
        <v>74</v>
      </c>
      <c r="E83" s="131">
        <v>254.83</v>
      </c>
      <c r="F83" s="127">
        <v>254.83</v>
      </c>
      <c r="G83" s="63">
        <v>258.05</v>
      </c>
      <c r="H83" s="63">
        <v>258.05</v>
      </c>
      <c r="I83" s="63">
        <v>258.05</v>
      </c>
    </row>
    <row r="84" spans="1:9" ht="42.6" customHeight="1" x14ac:dyDescent="0.25">
      <c r="A84" s="13"/>
      <c r="B84" s="13">
        <v>3234</v>
      </c>
      <c r="C84" s="14">
        <v>12</v>
      </c>
      <c r="D84" s="14" t="s">
        <v>75</v>
      </c>
      <c r="E84" s="131">
        <v>5178.6899999999996</v>
      </c>
      <c r="F84" s="127">
        <v>5308.92</v>
      </c>
      <c r="G84" s="63">
        <v>4645.3</v>
      </c>
      <c r="H84" s="63">
        <v>4645.3</v>
      </c>
      <c r="I84" s="63">
        <v>4645.3</v>
      </c>
    </row>
    <row r="85" spans="1:9" ht="42.6" customHeight="1" x14ac:dyDescent="0.25">
      <c r="A85" s="13"/>
      <c r="B85" s="13">
        <v>3236</v>
      </c>
      <c r="C85" s="14">
        <v>12</v>
      </c>
      <c r="D85" s="14" t="s">
        <v>76</v>
      </c>
      <c r="E85" s="131">
        <v>764.82</v>
      </c>
      <c r="F85" s="127">
        <v>3474.68</v>
      </c>
      <c r="G85" s="63">
        <v>4000</v>
      </c>
      <c r="H85" s="63">
        <v>4000</v>
      </c>
      <c r="I85" s="63">
        <v>4000</v>
      </c>
    </row>
    <row r="86" spans="1:9" s="49" customFormat="1" ht="42.6" customHeight="1" x14ac:dyDescent="0.25">
      <c r="A86" s="13"/>
      <c r="B86" s="13">
        <v>3237</v>
      </c>
      <c r="C86" s="14">
        <v>12</v>
      </c>
      <c r="D86" s="14" t="s">
        <v>81</v>
      </c>
      <c r="E86" s="131">
        <v>132.80000000000001</v>
      </c>
      <c r="F86" s="127">
        <v>1061.79</v>
      </c>
      <c r="G86" s="63"/>
      <c r="H86" s="63"/>
      <c r="I86" s="63"/>
    </row>
    <row r="87" spans="1:9" s="49" customFormat="1" ht="42.6" customHeight="1" x14ac:dyDescent="0.25">
      <c r="A87" s="13"/>
      <c r="B87" s="13">
        <v>3238</v>
      </c>
      <c r="C87" s="14">
        <v>12</v>
      </c>
      <c r="D87" s="14" t="s">
        <v>77</v>
      </c>
      <c r="E87" s="131">
        <v>2394.56</v>
      </c>
      <c r="F87" s="127">
        <v>2953.08</v>
      </c>
      <c r="G87" s="63">
        <v>2787.18</v>
      </c>
      <c r="H87" s="63">
        <v>2787.18</v>
      </c>
      <c r="I87" s="63">
        <v>2787.18</v>
      </c>
    </row>
    <row r="88" spans="1:9" ht="42.6" customHeight="1" x14ac:dyDescent="0.25">
      <c r="A88" s="13"/>
      <c r="B88" s="13">
        <v>3239</v>
      </c>
      <c r="C88" s="14">
        <v>12</v>
      </c>
      <c r="D88" s="14" t="s">
        <v>78</v>
      </c>
      <c r="E88" s="131"/>
      <c r="F88" s="127">
        <v>64.099999999999994</v>
      </c>
      <c r="G88" s="63">
        <v>64.099999999999994</v>
      </c>
      <c r="H88" s="63">
        <v>64.099999999999994</v>
      </c>
      <c r="I88" s="63">
        <v>64.099999999999994</v>
      </c>
    </row>
    <row r="89" spans="1:9" ht="69.599999999999994" customHeight="1" x14ac:dyDescent="0.25">
      <c r="A89" s="32"/>
      <c r="B89" s="32">
        <v>329</v>
      </c>
      <c r="C89" s="46">
        <v>12</v>
      </c>
      <c r="D89" s="46" t="s">
        <v>79</v>
      </c>
      <c r="E89" s="132">
        <f t="shared" ref="E89:F89" si="29">SUM(E90:E91)</f>
        <v>1136.56</v>
      </c>
      <c r="F89" s="132">
        <f t="shared" si="29"/>
        <v>1393.59</v>
      </c>
      <c r="G89" s="62">
        <f>SUM(G90:G91)</f>
        <v>968.88</v>
      </c>
      <c r="H89" s="62">
        <f t="shared" ref="H89:I89" si="30">SUM(H90:H91)</f>
        <v>968.88</v>
      </c>
      <c r="I89" s="62">
        <f t="shared" si="30"/>
        <v>968.88</v>
      </c>
    </row>
    <row r="90" spans="1:9" s="49" customFormat="1" ht="42.6" customHeight="1" x14ac:dyDescent="0.25">
      <c r="A90" s="13"/>
      <c r="B90" s="13">
        <v>3292</v>
      </c>
      <c r="C90" s="14">
        <v>12</v>
      </c>
      <c r="D90" s="14" t="s">
        <v>80</v>
      </c>
      <c r="E90" s="131">
        <v>1103.79</v>
      </c>
      <c r="F90" s="127">
        <v>1327.23</v>
      </c>
      <c r="G90" s="63">
        <v>902.52</v>
      </c>
      <c r="H90" s="63">
        <v>902.52</v>
      </c>
      <c r="I90" s="63">
        <v>902.52</v>
      </c>
    </row>
    <row r="91" spans="1:9" s="49" customFormat="1" ht="67.900000000000006" customHeight="1" x14ac:dyDescent="0.25">
      <c r="A91" s="13"/>
      <c r="B91" s="13">
        <v>3299</v>
      </c>
      <c r="C91" s="14">
        <v>12</v>
      </c>
      <c r="D91" s="14" t="s">
        <v>79</v>
      </c>
      <c r="E91" s="131">
        <v>32.770000000000003</v>
      </c>
      <c r="F91" s="127">
        <v>66.36</v>
      </c>
      <c r="G91" s="63">
        <v>66.36</v>
      </c>
      <c r="H91" s="63">
        <v>66.36</v>
      </c>
      <c r="I91" s="63">
        <v>66.36</v>
      </c>
    </row>
    <row r="92" spans="1:9" ht="15.75" customHeight="1" x14ac:dyDescent="0.25">
      <c r="A92" s="13"/>
      <c r="B92" s="13"/>
      <c r="C92" s="14">
        <v>12</v>
      </c>
      <c r="D92" s="14"/>
      <c r="E92" s="131"/>
      <c r="F92" s="127"/>
      <c r="G92" s="63"/>
      <c r="H92" s="63"/>
      <c r="I92" s="63"/>
    </row>
    <row r="93" spans="1:9" ht="15.75" customHeight="1" x14ac:dyDescent="0.25">
      <c r="A93" s="13"/>
      <c r="B93" s="32">
        <v>34</v>
      </c>
      <c r="C93" s="14">
        <v>12</v>
      </c>
      <c r="D93" s="14" t="s">
        <v>130</v>
      </c>
      <c r="E93" s="132">
        <v>828.58</v>
      </c>
      <c r="F93" s="126">
        <v>1274</v>
      </c>
      <c r="G93" s="64">
        <v>800</v>
      </c>
      <c r="H93" s="64">
        <v>800</v>
      </c>
      <c r="I93" s="64">
        <v>800</v>
      </c>
    </row>
    <row r="94" spans="1:9" ht="43.15" customHeight="1" x14ac:dyDescent="0.25">
      <c r="A94" s="32"/>
      <c r="B94" s="32">
        <v>343</v>
      </c>
      <c r="C94" s="14">
        <v>12</v>
      </c>
      <c r="D94" s="46" t="s">
        <v>131</v>
      </c>
      <c r="E94" s="132">
        <f>SUM(E95:E96)</f>
        <v>828.58</v>
      </c>
      <c r="F94" s="132">
        <f t="shared" ref="F94:I94" si="31">SUM(F95:F96)</f>
        <v>1274.1400000000001</v>
      </c>
      <c r="G94" s="62">
        <v>800</v>
      </c>
      <c r="H94" s="62">
        <f t="shared" si="31"/>
        <v>800</v>
      </c>
      <c r="I94" s="62">
        <f t="shared" si="31"/>
        <v>800</v>
      </c>
    </row>
    <row r="95" spans="1:9" x14ac:dyDescent="0.25">
      <c r="A95" s="13"/>
      <c r="B95" s="13">
        <v>3431</v>
      </c>
      <c r="C95" s="14">
        <v>12</v>
      </c>
      <c r="D95" s="14" t="s">
        <v>132</v>
      </c>
      <c r="E95" s="131">
        <v>828.58</v>
      </c>
      <c r="F95" s="127">
        <v>1274.1400000000001</v>
      </c>
      <c r="G95" s="63">
        <v>800</v>
      </c>
      <c r="H95" s="63">
        <v>800</v>
      </c>
      <c r="I95" s="63">
        <v>800</v>
      </c>
    </row>
    <row r="96" spans="1:9" x14ac:dyDescent="0.25">
      <c r="A96" s="13"/>
      <c r="B96" s="13">
        <v>3433</v>
      </c>
      <c r="C96" s="14">
        <v>12</v>
      </c>
      <c r="D96" s="14"/>
      <c r="E96" s="131"/>
      <c r="F96" s="127"/>
      <c r="G96" s="63"/>
      <c r="H96" s="63"/>
      <c r="I96" s="63"/>
    </row>
    <row r="97" spans="1:9" x14ac:dyDescent="0.25">
      <c r="A97" s="13"/>
      <c r="B97" s="13"/>
      <c r="C97" s="14">
        <v>12</v>
      </c>
      <c r="D97" s="14"/>
      <c r="E97" s="131"/>
      <c r="F97" s="127"/>
      <c r="G97" s="63"/>
      <c r="H97" s="63"/>
      <c r="I97" s="63"/>
    </row>
    <row r="98" spans="1:9" ht="38.25" x14ac:dyDescent="0.25">
      <c r="A98" s="13"/>
      <c r="B98" s="32">
        <v>37</v>
      </c>
      <c r="C98" s="14">
        <v>12</v>
      </c>
      <c r="D98" s="70" t="s">
        <v>123</v>
      </c>
      <c r="E98" s="132">
        <v>58025</v>
      </c>
      <c r="F98" s="126">
        <v>76812</v>
      </c>
      <c r="G98" s="63">
        <v>75996.69</v>
      </c>
      <c r="H98" s="63">
        <v>75996.69</v>
      </c>
      <c r="I98" s="63">
        <v>75996.69</v>
      </c>
    </row>
    <row r="99" spans="1:9" ht="25.5" x14ac:dyDescent="0.25">
      <c r="A99" s="32"/>
      <c r="B99" s="32">
        <v>372</v>
      </c>
      <c r="C99" s="14">
        <v>12</v>
      </c>
      <c r="D99" s="70" t="s">
        <v>124</v>
      </c>
      <c r="E99" s="132">
        <f>SUM(E100:E100)</f>
        <v>58025.15</v>
      </c>
      <c r="F99" s="132">
        <f>SUM(F100:F100)</f>
        <v>76812.13</v>
      </c>
      <c r="G99" s="62">
        <f>SUM(G100:G100)</f>
        <v>75996.69</v>
      </c>
      <c r="H99" s="62">
        <f>SUM(H100:H100)</f>
        <v>75996.69</v>
      </c>
      <c r="I99" s="62">
        <f>SUM(I100:I100)</f>
        <v>75996.69</v>
      </c>
    </row>
    <row r="100" spans="1:9" ht="25.5" x14ac:dyDescent="0.25">
      <c r="A100" s="13"/>
      <c r="B100" s="13">
        <v>3722</v>
      </c>
      <c r="C100" s="14">
        <v>12</v>
      </c>
      <c r="D100" s="20" t="s">
        <v>125</v>
      </c>
      <c r="E100" s="131">
        <v>58025.15</v>
      </c>
      <c r="F100" s="127">
        <v>76812.13</v>
      </c>
      <c r="G100" s="63">
        <v>75996.69</v>
      </c>
      <c r="H100" s="63">
        <v>75996.69</v>
      </c>
      <c r="I100" s="63">
        <v>75996.69</v>
      </c>
    </row>
    <row r="101" spans="1:9" x14ac:dyDescent="0.25">
      <c r="A101" s="13"/>
      <c r="B101" s="13"/>
      <c r="C101" s="14"/>
      <c r="D101" s="14"/>
      <c r="E101" s="131"/>
      <c r="F101" s="127"/>
      <c r="G101" s="63"/>
      <c r="H101" s="63"/>
      <c r="I101" s="63"/>
    </row>
    <row r="102" spans="1:9" ht="51.75" x14ac:dyDescent="0.25">
      <c r="A102" s="56" t="s">
        <v>82</v>
      </c>
      <c r="B102" s="120" t="s">
        <v>83</v>
      </c>
      <c r="C102" s="14"/>
      <c r="D102" s="14"/>
      <c r="E102" s="131"/>
      <c r="F102" s="127"/>
      <c r="G102" s="63"/>
      <c r="H102" s="63"/>
      <c r="I102" s="63"/>
    </row>
    <row r="103" spans="1:9" ht="25.5" x14ac:dyDescent="0.25">
      <c r="A103" s="15">
        <v>4</v>
      </c>
      <c r="B103" s="16"/>
      <c r="C103" s="16"/>
      <c r="D103" s="30" t="s">
        <v>24</v>
      </c>
      <c r="E103" s="132">
        <f>E107+E113</f>
        <v>54802.246243944515</v>
      </c>
      <c r="F103" s="132">
        <f>F107+F113</f>
        <v>6636.14</v>
      </c>
      <c r="G103" s="62">
        <f>G107+G113</f>
        <v>0</v>
      </c>
      <c r="H103" s="62">
        <f t="shared" ref="H103:I103" si="32">H107+H113</f>
        <v>0</v>
      </c>
      <c r="I103" s="62">
        <f t="shared" si="32"/>
        <v>0</v>
      </c>
    </row>
    <row r="104" spans="1:9" ht="25.5" x14ac:dyDescent="0.25">
      <c r="A104" s="12"/>
      <c r="B104" s="12">
        <v>41</v>
      </c>
      <c r="C104" s="12"/>
      <c r="D104" s="30" t="s">
        <v>25</v>
      </c>
      <c r="E104" s="132"/>
      <c r="F104" s="126"/>
      <c r="G104" s="64"/>
      <c r="H104" s="64"/>
      <c r="I104" s="64"/>
    </row>
    <row r="105" spans="1:9" x14ac:dyDescent="0.25">
      <c r="A105" s="17"/>
      <c r="B105" s="17"/>
      <c r="C105" s="14">
        <v>12</v>
      </c>
      <c r="D105" s="14" t="s">
        <v>20</v>
      </c>
      <c r="E105" s="131"/>
      <c r="F105" s="127"/>
      <c r="G105" s="63"/>
      <c r="H105" s="63"/>
      <c r="I105" s="63"/>
    </row>
    <row r="106" spans="1:9" x14ac:dyDescent="0.25">
      <c r="A106" s="17"/>
      <c r="B106" s="17"/>
      <c r="C106" s="14"/>
      <c r="E106" s="131"/>
      <c r="F106" s="127"/>
      <c r="G106" s="63"/>
      <c r="H106" s="63"/>
      <c r="I106" s="63"/>
    </row>
    <row r="107" spans="1:9" ht="25.5" x14ac:dyDescent="0.25">
      <c r="A107" s="12"/>
      <c r="B107" s="12">
        <v>42</v>
      </c>
      <c r="C107" s="46">
        <v>12</v>
      </c>
      <c r="D107" s="67" t="s">
        <v>87</v>
      </c>
      <c r="E107" s="132">
        <v>2460.85</v>
      </c>
      <c r="F107" s="126"/>
      <c r="G107" s="64"/>
      <c r="H107" s="64"/>
      <c r="I107" s="64"/>
    </row>
    <row r="108" spans="1:9" x14ac:dyDescent="0.25">
      <c r="A108" s="12"/>
      <c r="B108" s="76">
        <v>422</v>
      </c>
      <c r="C108" s="46">
        <v>12</v>
      </c>
      <c r="D108" s="46" t="s">
        <v>86</v>
      </c>
      <c r="E108" s="132"/>
      <c r="F108" s="126"/>
      <c r="G108" s="64"/>
      <c r="H108" s="64"/>
      <c r="I108" s="64"/>
    </row>
    <row r="109" spans="1:9" x14ac:dyDescent="0.25">
      <c r="A109" s="57"/>
      <c r="B109" s="57">
        <v>4221</v>
      </c>
      <c r="C109" s="14">
        <v>12</v>
      </c>
      <c r="D109" s="60" t="s">
        <v>84</v>
      </c>
      <c r="E109" s="58">
        <f>18541.25/7.5345</f>
        <v>2460.8467715176853</v>
      </c>
      <c r="F109" s="58"/>
      <c r="G109" s="65"/>
      <c r="H109" s="65"/>
      <c r="I109" s="65"/>
    </row>
    <row r="110" spans="1:9" x14ac:dyDescent="0.25">
      <c r="A110" s="57"/>
      <c r="B110" s="57">
        <v>4223</v>
      </c>
      <c r="C110" s="14">
        <v>12</v>
      </c>
      <c r="D110" s="60" t="s">
        <v>90</v>
      </c>
      <c r="E110" s="58"/>
      <c r="F110" s="58"/>
      <c r="G110" s="65"/>
      <c r="H110" s="65"/>
      <c r="I110" s="65"/>
    </row>
    <row r="111" spans="1:9" x14ac:dyDescent="0.25">
      <c r="A111" s="57"/>
      <c r="B111" s="57"/>
      <c r="C111" s="14"/>
      <c r="D111" s="60"/>
      <c r="E111" s="58"/>
      <c r="F111" s="58"/>
      <c r="G111" s="65"/>
      <c r="H111" s="65"/>
      <c r="I111" s="65"/>
    </row>
    <row r="112" spans="1:9" x14ac:dyDescent="0.25">
      <c r="A112" s="57"/>
      <c r="B112" s="57"/>
      <c r="C112" s="14"/>
      <c r="D112" s="60"/>
      <c r="E112" s="58"/>
      <c r="F112" s="58"/>
      <c r="G112" s="65">
        <f>G189</f>
        <v>0</v>
      </c>
      <c r="H112" s="65"/>
      <c r="I112" s="65"/>
    </row>
    <row r="113" spans="1:9" ht="30" x14ac:dyDescent="0.25">
      <c r="A113" s="71"/>
      <c r="B113" s="72">
        <v>45</v>
      </c>
      <c r="C113" s="46">
        <v>12</v>
      </c>
      <c r="D113" s="73" t="s">
        <v>88</v>
      </c>
      <c r="E113" s="74">
        <f t="shared" ref="E113:E114" si="33">E114</f>
        <v>52341.396243944517</v>
      </c>
      <c r="F113" s="74">
        <f>F114</f>
        <v>6636.14</v>
      </c>
      <c r="G113" s="74">
        <f t="shared" ref="G113:I113" si="34">G114</f>
        <v>0</v>
      </c>
      <c r="H113" s="74">
        <f t="shared" si="34"/>
        <v>0</v>
      </c>
      <c r="I113" s="74">
        <f t="shared" si="34"/>
        <v>0</v>
      </c>
    </row>
    <row r="114" spans="1:9" ht="30" x14ac:dyDescent="0.25">
      <c r="A114" s="71"/>
      <c r="B114" s="71">
        <v>451</v>
      </c>
      <c r="C114" s="46">
        <v>12</v>
      </c>
      <c r="D114" s="73" t="s">
        <v>89</v>
      </c>
      <c r="E114" s="74">
        <f t="shared" si="33"/>
        <v>52341.396243944517</v>
      </c>
      <c r="F114" s="74">
        <f>F115</f>
        <v>6636.14</v>
      </c>
      <c r="G114" s="74">
        <f t="shared" ref="G114:I114" si="35">G115</f>
        <v>0</v>
      </c>
      <c r="H114" s="74">
        <f t="shared" si="35"/>
        <v>0</v>
      </c>
      <c r="I114" s="74">
        <f t="shared" si="35"/>
        <v>0</v>
      </c>
    </row>
    <row r="115" spans="1:9" x14ac:dyDescent="0.25">
      <c r="A115" s="57"/>
      <c r="B115" s="57">
        <v>4511</v>
      </c>
      <c r="C115" s="14">
        <v>12</v>
      </c>
      <c r="D115" s="60" t="s">
        <v>85</v>
      </c>
      <c r="E115" s="58">
        <f>394366.25/7.5345</f>
        <v>52341.396243944517</v>
      </c>
      <c r="F115" s="58">
        <v>6636.14</v>
      </c>
      <c r="G115" s="58"/>
      <c r="H115" s="58"/>
      <c r="I115" s="58"/>
    </row>
    <row r="116" spans="1:9" x14ac:dyDescent="0.25">
      <c r="A116" s="57"/>
      <c r="B116" s="57"/>
      <c r="C116" s="14"/>
      <c r="D116" s="60"/>
      <c r="E116" s="267"/>
      <c r="F116" s="58"/>
      <c r="G116" s="74">
        <f>G117</f>
        <v>10000</v>
      </c>
      <c r="H116" s="74">
        <f t="shared" ref="H116:I116" si="36">H117</f>
        <v>10000</v>
      </c>
      <c r="I116" s="74">
        <f t="shared" si="36"/>
        <v>10000</v>
      </c>
    </row>
    <row r="117" spans="1:9" x14ac:dyDescent="0.25">
      <c r="A117" s="57"/>
      <c r="B117" s="57">
        <v>4511</v>
      </c>
      <c r="C117" s="14">
        <v>11</v>
      </c>
      <c r="D117" s="60" t="s">
        <v>85</v>
      </c>
      <c r="E117" s="267"/>
      <c r="F117" s="58"/>
      <c r="G117" s="65">
        <v>10000</v>
      </c>
      <c r="H117" s="65">
        <v>10000</v>
      </c>
      <c r="I117" s="65">
        <v>10000</v>
      </c>
    </row>
    <row r="118" spans="1:9" x14ac:dyDescent="0.25">
      <c r="A118" s="57"/>
      <c r="B118" s="57"/>
      <c r="C118" s="14"/>
      <c r="D118" s="60"/>
      <c r="E118" s="267"/>
      <c r="F118" s="58"/>
      <c r="G118" s="65"/>
      <c r="H118" s="65"/>
      <c r="I118" s="65"/>
    </row>
    <row r="119" spans="1:9" ht="38.25" x14ac:dyDescent="0.25">
      <c r="A119" s="13"/>
      <c r="B119" s="32">
        <v>37</v>
      </c>
      <c r="C119" s="46">
        <v>17</v>
      </c>
      <c r="D119" s="70" t="s">
        <v>123</v>
      </c>
      <c r="E119" s="132"/>
      <c r="F119" s="126"/>
      <c r="G119" s="64">
        <v>3128</v>
      </c>
      <c r="H119" s="64">
        <v>3128</v>
      </c>
      <c r="I119" s="64">
        <v>3128</v>
      </c>
    </row>
    <row r="120" spans="1:9" ht="25.5" x14ac:dyDescent="0.25">
      <c r="A120" s="32"/>
      <c r="B120" s="32">
        <v>372</v>
      </c>
      <c r="C120" s="46">
        <v>17</v>
      </c>
      <c r="D120" s="70" t="s">
        <v>124</v>
      </c>
      <c r="E120" s="132">
        <f>SUM(E121:E121)</f>
        <v>0</v>
      </c>
      <c r="F120" s="132">
        <f>SUM(F121:F121)</f>
        <v>0</v>
      </c>
      <c r="G120" s="62">
        <f>SUM(G121:G121)</f>
        <v>3128</v>
      </c>
      <c r="H120" s="62">
        <f>SUM(H121:H121)</f>
        <v>3128</v>
      </c>
      <c r="I120" s="62">
        <f>SUM(I121:I121)</f>
        <v>3128</v>
      </c>
    </row>
    <row r="121" spans="1:9" ht="25.5" x14ac:dyDescent="0.25">
      <c r="A121" s="13"/>
      <c r="B121" s="13">
        <v>3721</v>
      </c>
      <c r="C121" s="14">
        <v>17</v>
      </c>
      <c r="D121" s="20" t="s">
        <v>185</v>
      </c>
      <c r="E121" s="131"/>
      <c r="F121" s="127"/>
      <c r="G121" s="63">
        <v>3128</v>
      </c>
      <c r="H121" s="63">
        <v>3128</v>
      </c>
      <c r="I121" s="63">
        <v>3128</v>
      </c>
    </row>
    <row r="122" spans="1:9" x14ac:dyDescent="0.25">
      <c r="A122" s="57"/>
      <c r="B122" s="57"/>
      <c r="C122" s="14"/>
      <c r="D122" s="60"/>
      <c r="E122" s="58"/>
      <c r="F122" s="58"/>
      <c r="G122" s="65"/>
      <c r="H122" s="65"/>
      <c r="I122" s="65"/>
    </row>
    <row r="123" spans="1:9" x14ac:dyDescent="0.25">
      <c r="A123" s="57"/>
      <c r="B123" s="57">
        <v>501</v>
      </c>
      <c r="C123" s="14"/>
      <c r="D123" s="60" t="s">
        <v>180</v>
      </c>
      <c r="E123" s="65">
        <f t="shared" ref="E123" si="37">E124+E159+E167+E150</f>
        <v>1007033.2828986662</v>
      </c>
      <c r="F123" s="65">
        <v>1096887.6499999999</v>
      </c>
      <c r="G123" s="65">
        <f>G124+G159+G167+G150</f>
        <v>1385884.9293251047</v>
      </c>
      <c r="H123" s="65">
        <f t="shared" ref="H123:I123" si="38">H124+H159+H167+H150</f>
        <v>1385884.9293251047</v>
      </c>
      <c r="I123" s="65">
        <f t="shared" si="38"/>
        <v>1385884.9293251047</v>
      </c>
    </row>
    <row r="124" spans="1:9" x14ac:dyDescent="0.25">
      <c r="A124" s="57"/>
      <c r="B124" s="57"/>
      <c r="C124" s="57"/>
      <c r="D124" s="57"/>
      <c r="E124" s="126">
        <f>E125+E179+E169</f>
        <v>1006596.624858982</v>
      </c>
      <c r="F124" s="126">
        <f>F125+F179+F169</f>
        <v>1094233.1939743846</v>
      </c>
      <c r="G124" s="126">
        <f>G125+G179+G169</f>
        <v>1383057.9335058732</v>
      </c>
      <c r="H124" s="126">
        <f>H125+H179+H169</f>
        <v>1383057.9335058732</v>
      </c>
      <c r="I124" s="126">
        <f>I125+I179+I169</f>
        <v>1383057.9335058732</v>
      </c>
    </row>
    <row r="125" spans="1:9" ht="89.25" x14ac:dyDescent="0.25">
      <c r="A125" s="12" t="s">
        <v>172</v>
      </c>
      <c r="B125" s="70" t="s">
        <v>173</v>
      </c>
      <c r="C125" s="17"/>
      <c r="D125" s="17"/>
      <c r="E125" s="64">
        <f>E129+E137</f>
        <v>983945.63541044539</v>
      </c>
      <c r="F125" s="64">
        <f>F129+F137</f>
        <v>1069679.4744176785</v>
      </c>
      <c r="G125" s="64">
        <f>G129+G137</f>
        <v>1358504.2139491672</v>
      </c>
      <c r="H125" s="64">
        <f t="shared" ref="H125:I125" si="39">H129+H137</f>
        <v>1358504.2139491672</v>
      </c>
      <c r="I125" s="64">
        <f t="shared" si="39"/>
        <v>1358504.2139491672</v>
      </c>
    </row>
    <row r="126" spans="1:9" x14ac:dyDescent="0.25">
      <c r="A126" s="57"/>
      <c r="B126" s="57"/>
      <c r="C126" s="60"/>
      <c r="D126" s="57"/>
      <c r="E126" s="58"/>
      <c r="F126" s="58"/>
      <c r="G126" s="65"/>
      <c r="H126" s="65"/>
      <c r="I126" s="65"/>
    </row>
    <row r="127" spans="1:9" x14ac:dyDescent="0.25">
      <c r="A127" s="12"/>
      <c r="B127" s="12"/>
      <c r="C127" s="70">
        <v>501</v>
      </c>
      <c r="D127" s="12"/>
      <c r="E127" s="55"/>
      <c r="F127" s="55"/>
    </row>
    <row r="128" spans="1:9" x14ac:dyDescent="0.25">
      <c r="A128" s="12">
        <v>3</v>
      </c>
      <c r="B128" s="12"/>
      <c r="C128" s="70">
        <v>501</v>
      </c>
      <c r="D128" s="12"/>
      <c r="E128" s="55"/>
      <c r="F128" s="55"/>
    </row>
    <row r="129" spans="1:9" x14ac:dyDescent="0.25">
      <c r="A129" s="12"/>
      <c r="B129" s="12">
        <v>31</v>
      </c>
      <c r="C129" s="70">
        <v>501</v>
      </c>
      <c r="D129" s="70" t="s">
        <v>23</v>
      </c>
      <c r="E129" s="126">
        <f>E130+E132+E134</f>
        <v>944140.71139425319</v>
      </c>
      <c r="F129" s="126">
        <f>F130+F132+F134</f>
        <v>1029484.3718893091</v>
      </c>
      <c r="G129" s="64">
        <f>G130+G132+G134</f>
        <v>1313955.803304798</v>
      </c>
      <c r="H129" s="64">
        <f t="shared" ref="H129:I129" si="40">H130+H132+H134</f>
        <v>1313955.803304798</v>
      </c>
      <c r="I129" s="64">
        <f t="shared" si="40"/>
        <v>1313955.803304798</v>
      </c>
    </row>
    <row r="130" spans="1:9" s="49" customFormat="1" x14ac:dyDescent="0.25">
      <c r="A130" s="12"/>
      <c r="B130" s="12">
        <v>311</v>
      </c>
      <c r="C130" s="70">
        <v>501</v>
      </c>
      <c r="D130" s="70" t="s">
        <v>109</v>
      </c>
      <c r="E130" s="132">
        <f>SUM(E131)</f>
        <v>781459.61112217139</v>
      </c>
      <c r="F130" s="132">
        <f>SUM(F131)</f>
        <v>855796.6686575088</v>
      </c>
      <c r="G130" s="62">
        <f>SUM(G131)</f>
        <v>1088327.0289999335</v>
      </c>
      <c r="H130" s="62">
        <f t="shared" ref="H130:I130" si="41">SUM(H131)</f>
        <v>1088327.0289999335</v>
      </c>
      <c r="I130" s="62">
        <f t="shared" si="41"/>
        <v>1088327.0289999335</v>
      </c>
    </row>
    <row r="131" spans="1:9" x14ac:dyDescent="0.25">
      <c r="A131" s="12"/>
      <c r="B131" s="17">
        <v>3111</v>
      </c>
      <c r="C131" s="20">
        <v>501</v>
      </c>
      <c r="D131" s="20" t="s">
        <v>110</v>
      </c>
      <c r="E131" s="131">
        <f>5887907.44/7.5345</f>
        <v>781459.61112217139</v>
      </c>
      <c r="F131" s="127">
        <f>6448000/7.5345</f>
        <v>855796.6686575088</v>
      </c>
      <c r="G131" s="63">
        <f>8200000/7.5345</f>
        <v>1088327.0289999335</v>
      </c>
      <c r="H131" s="63">
        <f t="shared" ref="H131:I131" si="42">8200000/7.5345</f>
        <v>1088327.0289999335</v>
      </c>
      <c r="I131" s="63">
        <f t="shared" si="42"/>
        <v>1088327.0289999335</v>
      </c>
    </row>
    <row r="132" spans="1:9" x14ac:dyDescent="0.25">
      <c r="A132" s="12"/>
      <c r="B132" s="12">
        <v>312</v>
      </c>
      <c r="C132" s="70">
        <v>501</v>
      </c>
      <c r="D132" s="70" t="s">
        <v>111</v>
      </c>
      <c r="E132" s="132">
        <f>SUM(E133)</f>
        <v>33259.313823080491</v>
      </c>
      <c r="F132" s="132">
        <f>SUM(F133)</f>
        <v>35835.158271949032</v>
      </c>
      <c r="G132" s="62">
        <f t="shared" ref="G132:I132" si="43">SUM(G133)</f>
        <v>39816.842524387816</v>
      </c>
      <c r="H132" s="62">
        <f t="shared" si="43"/>
        <v>39816.842524387816</v>
      </c>
      <c r="I132" s="62">
        <f t="shared" si="43"/>
        <v>39816.842524387816</v>
      </c>
    </row>
    <row r="133" spans="1:9" x14ac:dyDescent="0.25">
      <c r="A133" s="12"/>
      <c r="B133" s="17">
        <v>3121</v>
      </c>
      <c r="C133" s="20">
        <v>501</v>
      </c>
      <c r="D133" s="20" t="s">
        <v>111</v>
      </c>
      <c r="E133" s="131">
        <f>250592.3/7.5345</f>
        <v>33259.313823080491</v>
      </c>
      <c r="F133" s="127">
        <f>270000/7.5345</f>
        <v>35835.158271949032</v>
      </c>
      <c r="G133" s="63">
        <f>300000/7.5345</f>
        <v>39816.842524387816</v>
      </c>
      <c r="H133" s="63">
        <f t="shared" ref="H133:I133" si="44">300000/7.5345</f>
        <v>39816.842524387816</v>
      </c>
      <c r="I133" s="63">
        <f t="shared" si="44"/>
        <v>39816.842524387816</v>
      </c>
    </row>
    <row r="134" spans="1:9" x14ac:dyDescent="0.25">
      <c r="A134" s="12"/>
      <c r="B134" s="12">
        <v>313</v>
      </c>
      <c r="C134" s="70">
        <v>501</v>
      </c>
      <c r="D134" s="70" t="s">
        <v>112</v>
      </c>
      <c r="E134" s="132">
        <f>SUM(E135)</f>
        <v>129421.78644900124</v>
      </c>
      <c r="F134" s="132">
        <f t="shared" ref="F134:H134" si="45">SUM(F135)</f>
        <v>137852.54495985134</v>
      </c>
      <c r="G134" s="62">
        <f t="shared" si="45"/>
        <v>185811.93178047647</v>
      </c>
      <c r="H134" s="62">
        <f t="shared" si="45"/>
        <v>185811.93178047647</v>
      </c>
      <c r="I134" s="62">
        <f>SUM(I135)</f>
        <v>185811.93178047647</v>
      </c>
    </row>
    <row r="135" spans="1:9" s="49" customFormat="1" ht="26.25" thickBot="1" x14ac:dyDescent="0.3">
      <c r="A135" s="168"/>
      <c r="B135" s="169">
        <v>3132</v>
      </c>
      <c r="C135" s="170">
        <v>501</v>
      </c>
      <c r="D135" s="170" t="s">
        <v>113</v>
      </c>
      <c r="E135" s="138">
        <f>975128.45/7.5345</f>
        <v>129421.78644900124</v>
      </c>
      <c r="F135" s="171">
        <f>1038650/7.5345</f>
        <v>137852.54495985134</v>
      </c>
      <c r="G135" s="172">
        <f>1400000/7.5345</f>
        <v>185811.93178047647</v>
      </c>
      <c r="H135" s="172">
        <f t="shared" ref="H135:I135" si="46">1400000/7.5345</f>
        <v>185811.93178047647</v>
      </c>
      <c r="I135" s="172">
        <f t="shared" si="46"/>
        <v>185811.93178047647</v>
      </c>
    </row>
    <row r="136" spans="1:9" ht="15.75" thickBot="1" x14ac:dyDescent="0.3">
      <c r="A136" s="177">
        <v>501</v>
      </c>
      <c r="B136" s="178">
        <v>32</v>
      </c>
      <c r="C136" s="178"/>
      <c r="D136" s="178"/>
      <c r="E136" s="179">
        <f t="shared" ref="E136" si="47">E137+E150++E159+E167</f>
        <v>40241.582055876301</v>
      </c>
      <c r="F136" s="179">
        <f>F137+F150++F159+F167</f>
        <v>43008.826066759568</v>
      </c>
      <c r="G136" s="179">
        <f>G137+G150++G159+G167</f>
        <v>47375.406463600768</v>
      </c>
      <c r="H136" s="179">
        <f t="shared" ref="H136:I136" si="48">H137+H150++H159+H167</f>
        <v>47375.406463600768</v>
      </c>
      <c r="I136" s="180">
        <f t="shared" si="48"/>
        <v>47375.406463600768</v>
      </c>
    </row>
    <row r="137" spans="1:9" x14ac:dyDescent="0.25">
      <c r="A137" s="173"/>
      <c r="B137" s="173">
        <v>32</v>
      </c>
      <c r="C137" s="174">
        <v>501</v>
      </c>
      <c r="D137" s="174" t="s">
        <v>114</v>
      </c>
      <c r="E137" s="175">
        <f>E138+E140+E142</f>
        <v>39804.924016192184</v>
      </c>
      <c r="F137" s="175">
        <f>F138+F140+F142</f>
        <v>40195.102528369498</v>
      </c>
      <c r="G137" s="176">
        <f>G138+G140+G142</f>
        <v>44548.410644369236</v>
      </c>
      <c r="H137" s="176">
        <f>H138+H140+H142</f>
        <v>44548.410644369236</v>
      </c>
      <c r="I137" s="176">
        <f>I138+I140+I142</f>
        <v>44548.410644369236</v>
      </c>
    </row>
    <row r="138" spans="1:9" x14ac:dyDescent="0.25">
      <c r="A138" s="12"/>
      <c r="B138" s="12">
        <v>321</v>
      </c>
      <c r="C138" s="70">
        <v>501</v>
      </c>
      <c r="D138" s="70" t="s">
        <v>115</v>
      </c>
      <c r="E138" s="126">
        <f>E139</f>
        <v>36994.518548012478</v>
      </c>
      <c r="F138" s="126">
        <f>F139+F150</f>
        <v>35357.356161656375</v>
      </c>
      <c r="G138" s="64">
        <f>G139</f>
        <v>39816.842524387816</v>
      </c>
      <c r="H138" s="64">
        <f t="shared" ref="H138:I138" si="49">H139</f>
        <v>39816.842524387816</v>
      </c>
      <c r="I138" s="64">
        <f t="shared" si="49"/>
        <v>39816.842524387816</v>
      </c>
    </row>
    <row r="139" spans="1:9" x14ac:dyDescent="0.25">
      <c r="A139" s="12"/>
      <c r="B139" s="17">
        <v>3212</v>
      </c>
      <c r="C139" s="20">
        <v>501</v>
      </c>
      <c r="D139" s="20" t="s">
        <v>116</v>
      </c>
      <c r="E139" s="131">
        <f>278735.2/7.5345</f>
        <v>36994.518548012478</v>
      </c>
      <c r="F139" s="127">
        <f>266000/7.5345</f>
        <v>35304.267038290527</v>
      </c>
      <c r="G139" s="63">
        <f>300000/7.5345</f>
        <v>39816.842524387816</v>
      </c>
      <c r="H139" s="63">
        <f t="shared" ref="H139:I139" si="50">300000/7.5345</f>
        <v>39816.842524387816</v>
      </c>
      <c r="I139" s="63">
        <f t="shared" si="50"/>
        <v>39816.842524387816</v>
      </c>
    </row>
    <row r="140" spans="1:9" s="49" customFormat="1" x14ac:dyDescent="0.25">
      <c r="A140" s="12"/>
      <c r="B140" s="12">
        <v>323</v>
      </c>
      <c r="C140" s="70">
        <v>501</v>
      </c>
      <c r="D140" s="70" t="s">
        <v>117</v>
      </c>
      <c r="E140" s="64">
        <f>E141</f>
        <v>0</v>
      </c>
      <c r="F140" s="64">
        <f t="shared" ref="F140" si="51">F141</f>
        <v>1944.3891432742716</v>
      </c>
      <c r="G140" s="64">
        <f>G141</f>
        <v>1944.3891432742716</v>
      </c>
      <c r="H140" s="64">
        <f t="shared" ref="H140:I140" si="52">H141</f>
        <v>1944.3891432742716</v>
      </c>
      <c r="I140" s="64">
        <f t="shared" si="52"/>
        <v>1944.3891432742716</v>
      </c>
    </row>
    <row r="141" spans="1:9" ht="25.5" x14ac:dyDescent="0.25">
      <c r="A141" s="17"/>
      <c r="B141" s="17">
        <v>3236</v>
      </c>
      <c r="C141" s="20">
        <v>501</v>
      </c>
      <c r="D141" s="20" t="s">
        <v>118</v>
      </c>
      <c r="E141" s="66"/>
      <c r="F141" s="127">
        <f>14650/7.5345</f>
        <v>1944.3891432742716</v>
      </c>
      <c r="G141" s="63">
        <f>14650/7.5345</f>
        <v>1944.3891432742716</v>
      </c>
      <c r="H141" s="63">
        <f t="shared" ref="H141:I141" si="53">14650/7.5345</f>
        <v>1944.3891432742716</v>
      </c>
      <c r="I141" s="63">
        <f t="shared" si="53"/>
        <v>1944.3891432742716</v>
      </c>
    </row>
    <row r="142" spans="1:9" ht="25.5" x14ac:dyDescent="0.25">
      <c r="A142" s="12"/>
      <c r="B142" s="12">
        <v>329</v>
      </c>
      <c r="C142" s="70">
        <v>501</v>
      </c>
      <c r="D142" s="70" t="s">
        <v>119</v>
      </c>
      <c r="E142" s="64">
        <f>E143+E167</f>
        <v>2810.4054681797065</v>
      </c>
      <c r="F142" s="64">
        <f t="shared" ref="F142" si="54">F143+F167</f>
        <v>2893.3572234388475</v>
      </c>
      <c r="G142" s="64">
        <f>G143</f>
        <v>2787.1789767071468</v>
      </c>
      <c r="H142" s="64">
        <f t="shared" ref="H142:I142" si="55">H143</f>
        <v>2787.1789767071468</v>
      </c>
      <c r="I142" s="64">
        <f t="shared" si="55"/>
        <v>2787.1789767071468</v>
      </c>
    </row>
    <row r="143" spans="1:9" s="49" customFormat="1" ht="25.5" x14ac:dyDescent="0.25">
      <c r="A143" s="12"/>
      <c r="B143" s="17">
        <v>32955</v>
      </c>
      <c r="C143" s="20">
        <v>501</v>
      </c>
      <c r="D143" s="20" t="s">
        <v>120</v>
      </c>
      <c r="E143" s="131">
        <f>21175/7.5345</f>
        <v>2810.4054681797065</v>
      </c>
      <c r="F143" s="127">
        <f>21000/7.5345</f>
        <v>2787.1789767071468</v>
      </c>
      <c r="G143" s="63">
        <f>21000/7.5345</f>
        <v>2787.1789767071468</v>
      </c>
      <c r="H143" s="63">
        <f t="shared" ref="H143:I143" si="56">21000/7.5345</f>
        <v>2787.1789767071468</v>
      </c>
      <c r="I143" s="63">
        <f t="shared" si="56"/>
        <v>2787.1789767071468</v>
      </c>
    </row>
    <row r="144" spans="1:9" s="49" customFormat="1" ht="51" x14ac:dyDescent="0.25">
      <c r="A144" s="12" t="s">
        <v>175</v>
      </c>
      <c r="B144" s="12" t="s">
        <v>176</v>
      </c>
      <c r="C144" s="70"/>
      <c r="D144" s="70"/>
      <c r="E144" s="64">
        <f t="shared" ref="E144" si="57">E145+E179</f>
        <v>46291.926471564133</v>
      </c>
      <c r="F144" s="64">
        <f>F145+F179</f>
        <v>65318.187808746428</v>
      </c>
      <c r="G144" s="64">
        <f>G145+G179</f>
        <v>65411.100089587897</v>
      </c>
      <c r="H144" s="64">
        <f t="shared" ref="H144:I144" si="58">H145+H179</f>
        <v>65411.100089587897</v>
      </c>
      <c r="I144" s="64">
        <f t="shared" si="58"/>
        <v>65411.100089587897</v>
      </c>
    </row>
    <row r="145" spans="1:9" ht="25.5" x14ac:dyDescent="0.25">
      <c r="A145" s="12"/>
      <c r="B145" s="12" t="s">
        <v>174</v>
      </c>
      <c r="C145" s="70"/>
      <c r="D145" s="70" t="s">
        <v>177</v>
      </c>
      <c r="E145" s="158">
        <f t="shared" ref="E145" si="59">E146+E169</f>
        <v>38460.126086667988</v>
      </c>
      <c r="F145" s="158">
        <f>F146+F169</f>
        <v>57354.81930386887</v>
      </c>
      <c r="G145" s="158">
        <f>G146+G169</f>
        <v>57447.731584710338</v>
      </c>
      <c r="H145" s="158">
        <f t="shared" ref="H145:I145" si="60">H146+H169</f>
        <v>57447.731584710338</v>
      </c>
      <c r="I145" s="158">
        <f t="shared" si="60"/>
        <v>57447.731584710338</v>
      </c>
    </row>
    <row r="146" spans="1:9" x14ac:dyDescent="0.25">
      <c r="A146" s="12"/>
      <c r="B146" s="12">
        <v>32</v>
      </c>
      <c r="C146" s="70">
        <v>501</v>
      </c>
      <c r="D146" s="70"/>
      <c r="E146" s="126">
        <f>E149+E150+E151+E157+E164</f>
        <v>23640.937023027403</v>
      </c>
      <c r="F146" s="126">
        <f>F150+F151+F157+F164</f>
        <v>40764.468252040613</v>
      </c>
      <c r="G146" s="126">
        <f>G149+G150+G151+G157+G164</f>
        <v>40857.380532882082</v>
      </c>
      <c r="H146" s="126">
        <f>H149+H150+H151+H157+H164</f>
        <v>40857.380532882082</v>
      </c>
      <c r="I146" s="126">
        <f>I149+I150+I151+I157+I164</f>
        <v>40857.380532882082</v>
      </c>
    </row>
    <row r="147" spans="1:9" x14ac:dyDescent="0.25">
      <c r="A147" s="12"/>
      <c r="B147" s="12"/>
      <c r="C147" s="70"/>
      <c r="D147" s="70"/>
      <c r="E147" s="126"/>
      <c r="F147" s="126"/>
      <c r="G147" s="126"/>
      <c r="H147" s="126"/>
      <c r="I147" s="126"/>
    </row>
    <row r="148" spans="1:9" x14ac:dyDescent="0.25">
      <c r="A148" s="12"/>
      <c r="B148" s="12">
        <v>321</v>
      </c>
      <c r="C148" s="70"/>
      <c r="D148" s="70" t="s">
        <v>115</v>
      </c>
      <c r="E148" s="126">
        <f>E149+E150</f>
        <v>346.93742119583248</v>
      </c>
      <c r="F148" s="126">
        <f t="shared" ref="F148:I148" si="61">F149+F150</f>
        <v>132.72280841462606</v>
      </c>
      <c r="G148" s="64">
        <f>G149+G150</f>
        <v>146.00140420731304</v>
      </c>
      <c r="H148" s="64">
        <f>H149+H150</f>
        <v>146.00140420731304</v>
      </c>
      <c r="I148" s="64">
        <f t="shared" si="61"/>
        <v>146.00140420731304</v>
      </c>
    </row>
    <row r="149" spans="1:9" s="49" customFormat="1" x14ac:dyDescent="0.25">
      <c r="A149" s="17"/>
      <c r="B149" s="81">
        <v>3211</v>
      </c>
      <c r="C149" s="81">
        <v>31</v>
      </c>
      <c r="D149" s="81" t="s">
        <v>63</v>
      </c>
      <c r="E149" s="131">
        <f>2614/7.5345</f>
        <v>346.93742119583248</v>
      </c>
      <c r="F149" s="82">
        <f>600/7.5345</f>
        <v>79.633685048775632</v>
      </c>
      <c r="G149" s="63">
        <v>79.64</v>
      </c>
      <c r="H149" s="63">
        <v>79.64</v>
      </c>
      <c r="I149" s="63">
        <v>79.64</v>
      </c>
    </row>
    <row r="150" spans="1:9" s="49" customFormat="1" x14ac:dyDescent="0.25">
      <c r="A150" s="17"/>
      <c r="B150" s="17">
        <v>3211</v>
      </c>
      <c r="C150" s="20">
        <v>501</v>
      </c>
      <c r="D150" s="20" t="s">
        <v>121</v>
      </c>
      <c r="E150" s="133">
        <v>0</v>
      </c>
      <c r="F150" s="127">
        <f>400/7.5345</f>
        <v>53.089123365850419</v>
      </c>
      <c r="G150" s="63">
        <f>500/7.5345</f>
        <v>66.361404207313029</v>
      </c>
      <c r="H150" s="63">
        <f t="shared" ref="H150:I150" si="62">500/7.5345</f>
        <v>66.361404207313029</v>
      </c>
      <c r="I150" s="63">
        <f t="shared" si="62"/>
        <v>66.361404207313029</v>
      </c>
    </row>
    <row r="151" spans="1:9" x14ac:dyDescent="0.25">
      <c r="A151" s="12"/>
      <c r="B151" s="12">
        <v>322</v>
      </c>
      <c r="C151" s="70"/>
      <c r="D151" s="70" t="s">
        <v>114</v>
      </c>
      <c r="E151" s="134">
        <f>SUM(E152:E156)</f>
        <v>22007.59041741323</v>
      </c>
      <c r="F151" s="134">
        <f>SUM(F152:F156)</f>
        <v>33890.769128674765</v>
      </c>
      <c r="G151" s="134">
        <f>SUM(G152:G156)</f>
        <v>33890.769128674765</v>
      </c>
      <c r="H151" s="134">
        <f t="shared" ref="H151:I151" si="63">SUM(H152:H156)</f>
        <v>33890.769128674765</v>
      </c>
      <c r="I151" s="134">
        <f t="shared" si="63"/>
        <v>33890.769128674765</v>
      </c>
    </row>
    <row r="152" spans="1:9" x14ac:dyDescent="0.25">
      <c r="A152" s="59"/>
      <c r="B152" s="60">
        <v>3221</v>
      </c>
      <c r="C152" s="60">
        <v>31</v>
      </c>
      <c r="D152" s="60" t="s">
        <v>66</v>
      </c>
      <c r="E152" s="83"/>
      <c r="F152" s="83">
        <f>3000/7.5345</f>
        <v>398.16842524387812</v>
      </c>
      <c r="G152" s="114">
        <f>3000/7.5345</f>
        <v>398.16842524387812</v>
      </c>
      <c r="H152" s="114">
        <f t="shared" ref="H152:I152" si="64">3000/7.5345</f>
        <v>398.16842524387812</v>
      </c>
      <c r="I152" s="114">
        <f t="shared" si="64"/>
        <v>398.16842524387812</v>
      </c>
    </row>
    <row r="153" spans="1:9" s="49" customFormat="1" x14ac:dyDescent="0.25">
      <c r="A153" s="57"/>
      <c r="B153" s="60">
        <v>3222</v>
      </c>
      <c r="C153" s="60">
        <v>412</v>
      </c>
      <c r="D153" s="60" t="s">
        <v>136</v>
      </c>
      <c r="E153" s="83">
        <f>137675.5/7.5345</f>
        <v>18272.679009887848</v>
      </c>
      <c r="F153" s="83">
        <f>185400/7.5345</f>
        <v>24606.80868007167</v>
      </c>
      <c r="G153" s="114">
        <f>185400/7.5345</f>
        <v>24606.80868007167</v>
      </c>
      <c r="H153" s="114">
        <f t="shared" ref="H153:I153" si="65">185400/7.5345</f>
        <v>24606.80868007167</v>
      </c>
      <c r="I153" s="114">
        <f t="shared" si="65"/>
        <v>24606.80868007167</v>
      </c>
    </row>
    <row r="154" spans="1:9" s="49" customFormat="1" x14ac:dyDescent="0.25">
      <c r="A154" s="57"/>
      <c r="B154" s="60">
        <v>3223</v>
      </c>
      <c r="C154" s="60">
        <v>412</v>
      </c>
      <c r="D154" s="60" t="s">
        <v>68</v>
      </c>
      <c r="E154" s="83">
        <f>26041.23/7.5345</f>
        <v>3456.2651801712123</v>
      </c>
      <c r="F154" s="83">
        <f>66950/7.5345</f>
        <v>8885.792023359214</v>
      </c>
      <c r="G154" s="114">
        <f>66950/7.5345</f>
        <v>8885.792023359214</v>
      </c>
      <c r="H154" s="114">
        <f t="shared" ref="H154:I154" si="66">66950/7.5345</f>
        <v>8885.792023359214</v>
      </c>
      <c r="I154" s="114">
        <f t="shared" si="66"/>
        <v>8885.792023359214</v>
      </c>
    </row>
    <row r="155" spans="1:9" s="49" customFormat="1" x14ac:dyDescent="0.25">
      <c r="A155" s="59"/>
      <c r="B155" s="60">
        <v>3223</v>
      </c>
      <c r="C155" s="60">
        <v>31</v>
      </c>
      <c r="D155" s="60" t="s">
        <v>68</v>
      </c>
      <c r="E155" s="83">
        <f>2081.46/7.5345</f>
        <v>276.25721680270755</v>
      </c>
      <c r="F155" s="83"/>
      <c r="G155" s="75"/>
      <c r="H155" s="75"/>
      <c r="I155" s="75"/>
    </row>
    <row r="156" spans="1:9" s="49" customFormat="1" x14ac:dyDescent="0.25">
      <c r="A156" s="59"/>
      <c r="B156" s="60">
        <v>3225</v>
      </c>
      <c r="C156" s="60">
        <v>31</v>
      </c>
      <c r="D156" s="60" t="s">
        <v>70</v>
      </c>
      <c r="E156" s="83">
        <f>18/7.5345</f>
        <v>2.3890105514632687</v>
      </c>
      <c r="F156" s="83"/>
      <c r="G156" s="75"/>
      <c r="H156" s="75"/>
      <c r="I156" s="75"/>
    </row>
    <row r="157" spans="1:9" s="49" customFormat="1" x14ac:dyDescent="0.25">
      <c r="A157"/>
      <c r="B157" s="123">
        <v>323</v>
      </c>
      <c r="C157" s="149"/>
      <c r="D157" s="122" t="s">
        <v>117</v>
      </c>
      <c r="E157" s="66">
        <f>SUM(E158:E163)</f>
        <v>1286.4091844183422</v>
      </c>
      <c r="F157" s="66">
        <v>6555.17</v>
      </c>
      <c r="G157" s="66">
        <v>6555.17</v>
      </c>
      <c r="H157" s="66">
        <v>6555.17</v>
      </c>
      <c r="I157" s="66">
        <v>6555.17</v>
      </c>
    </row>
    <row r="158" spans="1:9" s="49" customFormat="1" x14ac:dyDescent="0.25">
      <c r="A158" s="59"/>
      <c r="B158" s="60">
        <v>3231</v>
      </c>
      <c r="C158" s="60">
        <v>31</v>
      </c>
      <c r="D158" s="60" t="s">
        <v>133</v>
      </c>
      <c r="E158" s="83"/>
      <c r="F158" s="83">
        <f>12000/7.5345</f>
        <v>1592.6737009755125</v>
      </c>
      <c r="G158" s="114">
        <f>12000/7.5345</f>
        <v>1592.6737009755125</v>
      </c>
      <c r="H158" s="114">
        <f t="shared" ref="H158:I158" si="67">12000/7.5345</f>
        <v>1592.6737009755125</v>
      </c>
      <c r="I158" s="114">
        <f t="shared" si="67"/>
        <v>1592.6737009755125</v>
      </c>
    </row>
    <row r="159" spans="1:9" s="49" customFormat="1" x14ac:dyDescent="0.25">
      <c r="A159" s="17"/>
      <c r="B159" s="17">
        <v>3232</v>
      </c>
      <c r="C159" s="20">
        <v>501</v>
      </c>
      <c r="D159" s="20" t="s">
        <v>122</v>
      </c>
      <c r="E159" s="131">
        <f>3290/7.5345</f>
        <v>436.65803968411967</v>
      </c>
      <c r="F159" s="127">
        <f>20000/7.5345</f>
        <v>2654.4561682925209</v>
      </c>
      <c r="G159" s="63">
        <f>20000/7.5345</f>
        <v>2654.4561682925209</v>
      </c>
      <c r="H159" s="63">
        <f t="shared" ref="H159:I159" si="68">20000/7.5345</f>
        <v>2654.4561682925209</v>
      </c>
      <c r="I159" s="63">
        <f t="shared" si="68"/>
        <v>2654.4561682925209</v>
      </c>
    </row>
    <row r="160" spans="1:9" s="49" customFormat="1" x14ac:dyDescent="0.25">
      <c r="A160" s="59"/>
      <c r="B160" s="60">
        <v>3234</v>
      </c>
      <c r="C160" s="60">
        <v>31</v>
      </c>
      <c r="D160" s="60" t="s">
        <v>75</v>
      </c>
      <c r="E160" s="83">
        <f>853.07/7.5345</f>
        <v>113.22184617426505</v>
      </c>
      <c r="F160" s="83">
        <f>10300/7.5345</f>
        <v>1367.0449266706482</v>
      </c>
      <c r="G160" s="114">
        <f>10300/7.5345</f>
        <v>1367.0449266706482</v>
      </c>
      <c r="H160" s="114">
        <f t="shared" ref="H160:I160" si="69">10300/7.5345</f>
        <v>1367.0449266706482</v>
      </c>
      <c r="I160" s="114">
        <f t="shared" si="69"/>
        <v>1367.0449266706482</v>
      </c>
    </row>
    <row r="161" spans="1:9" x14ac:dyDescent="0.25">
      <c r="A161" s="59"/>
      <c r="B161" s="60">
        <v>3237</v>
      </c>
      <c r="C161" s="60">
        <v>31</v>
      </c>
      <c r="D161" s="60" t="s">
        <v>134</v>
      </c>
      <c r="E161" s="83"/>
      <c r="F161" s="83">
        <f>4000/7.5345</f>
        <v>530.89123365850423</v>
      </c>
      <c r="G161" s="114">
        <f>4000/7.5345</f>
        <v>530.89123365850423</v>
      </c>
      <c r="H161" s="114">
        <f t="shared" ref="H161:I161" si="70">4000/7.5345</f>
        <v>530.89123365850423</v>
      </c>
      <c r="I161" s="114">
        <f t="shared" si="70"/>
        <v>530.89123365850423</v>
      </c>
    </row>
    <row r="162" spans="1:9" x14ac:dyDescent="0.25">
      <c r="A162" s="17"/>
      <c r="B162" s="17">
        <v>3237</v>
      </c>
      <c r="C162" s="20">
        <v>501</v>
      </c>
      <c r="D162" s="20" t="s">
        <v>137</v>
      </c>
      <c r="E162" s="131">
        <f>3625/7.5345</f>
        <v>481.12018050301941</v>
      </c>
      <c r="F162" s="127"/>
      <c r="G162" s="64"/>
      <c r="H162" s="64"/>
      <c r="I162" s="64"/>
    </row>
    <row r="163" spans="1:9" x14ac:dyDescent="0.25">
      <c r="A163" s="57"/>
      <c r="B163" s="60">
        <v>3239</v>
      </c>
      <c r="C163" s="60">
        <v>61</v>
      </c>
      <c r="D163" s="60" t="s">
        <v>78</v>
      </c>
      <c r="E163" s="83">
        <f>1924.38/7.5345</f>
        <v>255.4091180569381</v>
      </c>
      <c r="F163" s="83">
        <f>3090/7.5345</f>
        <v>410.11347800119449</v>
      </c>
      <c r="G163" s="114">
        <f>3090/7.5345</f>
        <v>410.11347800119449</v>
      </c>
      <c r="H163" s="114">
        <f t="shared" ref="H163:I163" si="71">3090/7.5345</f>
        <v>410.11347800119449</v>
      </c>
      <c r="I163" s="114">
        <f t="shared" si="71"/>
        <v>410.11347800119449</v>
      </c>
    </row>
    <row r="164" spans="1:9" x14ac:dyDescent="0.25">
      <c r="B164" s="122">
        <v>329</v>
      </c>
      <c r="C164" s="149"/>
      <c r="D164" s="46" t="s">
        <v>79</v>
      </c>
      <c r="E164" s="66">
        <f>SUM(E165:E168)</f>
        <v>0</v>
      </c>
      <c r="F164" s="66">
        <v>265.44</v>
      </c>
      <c r="G164" s="66">
        <v>265.44</v>
      </c>
      <c r="H164" s="66">
        <v>265.44</v>
      </c>
      <c r="I164" s="66">
        <v>265.44</v>
      </c>
    </row>
    <row r="165" spans="1:9" x14ac:dyDescent="0.25">
      <c r="A165" s="59"/>
      <c r="B165" s="60">
        <v>3293</v>
      </c>
      <c r="C165" s="60">
        <v>31</v>
      </c>
      <c r="D165" s="60" t="s">
        <v>135</v>
      </c>
      <c r="E165" s="83"/>
      <c r="F165" s="83">
        <f>1000/7.5345</f>
        <v>132.72280841462606</v>
      </c>
      <c r="G165" s="114">
        <f>1000/7.5345</f>
        <v>132.72280841462606</v>
      </c>
      <c r="H165" s="114">
        <f t="shared" ref="H165:I165" si="72">1000/7.5345</f>
        <v>132.72280841462606</v>
      </c>
      <c r="I165" s="114">
        <f t="shared" si="72"/>
        <v>132.72280841462606</v>
      </c>
    </row>
    <row r="166" spans="1:9" x14ac:dyDescent="0.25">
      <c r="A166" s="59"/>
      <c r="B166" s="60">
        <v>3296</v>
      </c>
      <c r="C166" s="60">
        <v>501</v>
      </c>
      <c r="D166" s="60" t="s">
        <v>191</v>
      </c>
      <c r="E166" s="215"/>
      <c r="F166" s="83"/>
      <c r="G166" s="114">
        <v>3982</v>
      </c>
      <c r="H166" s="114">
        <v>3982</v>
      </c>
      <c r="I166" s="114">
        <v>3982</v>
      </c>
    </row>
    <row r="167" spans="1:9" ht="25.5" x14ac:dyDescent="0.25">
      <c r="A167" s="12"/>
      <c r="B167" s="17">
        <v>3299</v>
      </c>
      <c r="C167" s="20">
        <v>501</v>
      </c>
      <c r="D167" s="20" t="s">
        <v>119</v>
      </c>
      <c r="E167" s="131"/>
      <c r="F167" s="127">
        <f>800/7.5345</f>
        <v>106.17824673170084</v>
      </c>
      <c r="G167" s="63">
        <f>800/7.5345</f>
        <v>106.17824673170084</v>
      </c>
      <c r="H167" s="63">
        <f t="shared" ref="H167:I167" si="73">800/7.5345</f>
        <v>106.17824673170084</v>
      </c>
      <c r="I167" s="63">
        <f t="shared" si="73"/>
        <v>106.17824673170084</v>
      </c>
    </row>
    <row r="168" spans="1:9" x14ac:dyDescent="0.25">
      <c r="A168" s="57"/>
      <c r="B168" s="60">
        <v>3299</v>
      </c>
      <c r="C168" s="60">
        <v>31</v>
      </c>
      <c r="D168" s="60" t="s">
        <v>79</v>
      </c>
      <c r="E168" s="83"/>
      <c r="F168" s="83">
        <f>200/7.5345</f>
        <v>26.54456168292521</v>
      </c>
      <c r="G168" s="114">
        <f>200/7.5345</f>
        <v>26.54456168292521</v>
      </c>
      <c r="H168" s="114">
        <f t="shared" ref="H168:I168" si="74">200/7.5345</f>
        <v>26.54456168292521</v>
      </c>
      <c r="I168" s="114">
        <f t="shared" si="74"/>
        <v>26.54456168292521</v>
      </c>
    </row>
    <row r="169" spans="1:9" ht="38.25" x14ac:dyDescent="0.25">
      <c r="A169" s="12"/>
      <c r="B169" s="12">
        <v>37</v>
      </c>
      <c r="C169" s="70">
        <v>501</v>
      </c>
      <c r="D169" s="70" t="s">
        <v>123</v>
      </c>
      <c r="E169" s="126">
        <f>SUM(E171:E171)</f>
        <v>14819.189063640584</v>
      </c>
      <c r="F169" s="126">
        <f>SUM(F171:F171)</f>
        <v>16590.351051828256</v>
      </c>
      <c r="G169" s="64">
        <f t="shared" ref="G169:I169" si="75">SUM(G171:G171)</f>
        <v>16590.351051828256</v>
      </c>
      <c r="H169" s="64">
        <f t="shared" si="75"/>
        <v>16590.351051828256</v>
      </c>
      <c r="I169" s="64">
        <f t="shared" si="75"/>
        <v>16590.351051828256</v>
      </c>
    </row>
    <row r="170" spans="1:9" ht="25.5" x14ac:dyDescent="0.25">
      <c r="A170" s="12"/>
      <c r="B170" s="12">
        <v>372</v>
      </c>
      <c r="C170" s="70">
        <v>501</v>
      </c>
      <c r="D170" s="70" t="s">
        <v>124</v>
      </c>
      <c r="E170" s="126">
        <f>SUM(E171:E171)</f>
        <v>14819.189063640584</v>
      </c>
      <c r="F170" s="126">
        <f>SUM(F171:F171)</f>
        <v>16590.351051828256</v>
      </c>
      <c r="G170" s="64">
        <f t="shared" ref="G170:I170" si="76">SUM(G171:G171)</f>
        <v>16590.351051828256</v>
      </c>
      <c r="H170" s="64">
        <f t="shared" si="76"/>
        <v>16590.351051828256</v>
      </c>
      <c r="I170" s="64">
        <f t="shared" si="76"/>
        <v>16590.351051828256</v>
      </c>
    </row>
    <row r="171" spans="1:9" ht="25.5" x14ac:dyDescent="0.25">
      <c r="A171" s="12"/>
      <c r="B171" s="17">
        <v>3722</v>
      </c>
      <c r="C171" s="20">
        <v>501</v>
      </c>
      <c r="D171" s="20" t="s">
        <v>125</v>
      </c>
      <c r="E171" s="131">
        <f>111655.18/7.5345</f>
        <v>14819.189063640584</v>
      </c>
      <c r="F171" s="127">
        <f>125000/7.5345</f>
        <v>16590.351051828256</v>
      </c>
      <c r="G171" s="63">
        <f t="shared" ref="G171:I171" si="77">125000/7.5345</f>
        <v>16590.351051828256</v>
      </c>
      <c r="H171" s="63">
        <f t="shared" si="77"/>
        <v>16590.351051828256</v>
      </c>
      <c r="I171" s="63">
        <f t="shared" si="77"/>
        <v>16590.351051828256</v>
      </c>
    </row>
    <row r="172" spans="1:9" ht="25.5" x14ac:dyDescent="0.25">
      <c r="A172" s="12"/>
      <c r="B172" s="17">
        <v>3722</v>
      </c>
      <c r="C172" s="20">
        <v>31</v>
      </c>
      <c r="D172" s="20" t="s">
        <v>125</v>
      </c>
      <c r="E172" s="131"/>
      <c r="F172" s="127"/>
      <c r="G172" s="63">
        <v>1500</v>
      </c>
      <c r="H172" s="63">
        <v>1500</v>
      </c>
      <c r="I172" s="63">
        <v>1500</v>
      </c>
    </row>
    <row r="173" spans="1:9" x14ac:dyDescent="0.25">
      <c r="A173" s="12"/>
      <c r="B173" s="17"/>
      <c r="C173" s="20"/>
      <c r="D173" s="20"/>
      <c r="E173" s="131"/>
      <c r="F173" s="127"/>
      <c r="G173" s="63"/>
      <c r="H173" s="63"/>
      <c r="I173" s="63"/>
    </row>
    <row r="174" spans="1:9" x14ac:dyDescent="0.25">
      <c r="B174" s="32">
        <v>343</v>
      </c>
      <c r="C174" s="14">
        <v>501</v>
      </c>
      <c r="D174" s="46" t="s">
        <v>131</v>
      </c>
      <c r="E174" s="132"/>
      <c r="F174" s="132"/>
      <c r="G174" s="64">
        <v>2691.33</v>
      </c>
      <c r="H174" s="64">
        <v>2691.33</v>
      </c>
      <c r="I174" s="64">
        <v>2691.33</v>
      </c>
    </row>
    <row r="175" spans="1:9" x14ac:dyDescent="0.25">
      <c r="B175" s="13">
        <v>3431</v>
      </c>
      <c r="C175" s="14">
        <v>501</v>
      </c>
      <c r="D175" s="14" t="s">
        <v>132</v>
      </c>
      <c r="E175" s="131"/>
      <c r="F175" s="127"/>
      <c r="G175" s="63">
        <v>2691.33</v>
      </c>
      <c r="H175" s="63">
        <v>2691.33</v>
      </c>
      <c r="I175" s="63">
        <v>2691.33</v>
      </c>
    </row>
    <row r="176" spans="1:9" x14ac:dyDescent="0.25">
      <c r="B176" s="13">
        <v>3433</v>
      </c>
      <c r="C176" s="14">
        <v>501</v>
      </c>
      <c r="D176" s="14" t="s">
        <v>200</v>
      </c>
      <c r="E176" s="131"/>
      <c r="F176" s="127"/>
      <c r="G176" s="63"/>
      <c r="H176" s="63"/>
      <c r="I176" s="63"/>
    </row>
    <row r="177" spans="1:9" x14ac:dyDescent="0.25">
      <c r="A177" s="13"/>
      <c r="B177" s="14"/>
      <c r="C177" s="14"/>
      <c r="D177" s="131"/>
      <c r="E177" s="131"/>
      <c r="F177" s="63"/>
      <c r="G177" s="63"/>
      <c r="H177" s="63"/>
      <c r="I177" s="63"/>
    </row>
    <row r="178" spans="1:9" ht="38.25" x14ac:dyDescent="0.25">
      <c r="A178" s="12" t="s">
        <v>126</v>
      </c>
      <c r="B178" s="17" t="s">
        <v>127</v>
      </c>
      <c r="C178" s="20">
        <v>501</v>
      </c>
      <c r="D178" s="17"/>
      <c r="E178" s="131"/>
      <c r="F178" s="127"/>
      <c r="G178" s="63"/>
      <c r="H178" s="63"/>
      <c r="I178" s="63"/>
    </row>
    <row r="179" spans="1:9" ht="25.5" x14ac:dyDescent="0.25">
      <c r="A179" s="12"/>
      <c r="B179" s="12">
        <v>42</v>
      </c>
      <c r="C179" s="70">
        <v>501</v>
      </c>
      <c r="D179" s="70" t="s">
        <v>87</v>
      </c>
      <c r="E179" s="126">
        <f>E180</f>
        <v>7831.8003848961434</v>
      </c>
      <c r="F179" s="126">
        <f>F180</f>
        <v>7963.3685048775624</v>
      </c>
      <c r="G179" s="64">
        <f t="shared" ref="G179:I181" si="78">G180</f>
        <v>7963.3685048775624</v>
      </c>
      <c r="H179" s="64">
        <f t="shared" si="78"/>
        <v>7963.3685048775624</v>
      </c>
      <c r="I179" s="64">
        <f t="shared" si="78"/>
        <v>7963.3685048775624</v>
      </c>
    </row>
    <row r="180" spans="1:9" ht="25.5" x14ac:dyDescent="0.25">
      <c r="A180" s="12"/>
      <c r="B180" s="12">
        <v>424</v>
      </c>
      <c r="C180" s="70">
        <v>501</v>
      </c>
      <c r="D180" s="70" t="s">
        <v>129</v>
      </c>
      <c r="E180" s="126">
        <f>E181</f>
        <v>7831.8003848961434</v>
      </c>
      <c r="F180" s="126">
        <f>F181</f>
        <v>7963.3685048775624</v>
      </c>
      <c r="G180" s="64">
        <f t="shared" si="78"/>
        <v>7963.3685048775624</v>
      </c>
      <c r="H180" s="64">
        <f t="shared" si="78"/>
        <v>7963.3685048775624</v>
      </c>
      <c r="I180" s="64">
        <f t="shared" si="78"/>
        <v>7963.3685048775624</v>
      </c>
    </row>
    <row r="181" spans="1:9" x14ac:dyDescent="0.25">
      <c r="A181" s="12"/>
      <c r="B181" s="17">
        <v>4241</v>
      </c>
      <c r="C181" s="17">
        <v>501</v>
      </c>
      <c r="D181" s="17" t="s">
        <v>128</v>
      </c>
      <c r="E181" s="9">
        <f>59008.7/7.5345</f>
        <v>7831.8003848961434</v>
      </c>
      <c r="F181" s="10">
        <f>F182</f>
        <v>7963.3685048775624</v>
      </c>
      <c r="G181" s="63">
        <f t="shared" si="78"/>
        <v>7963.3685048775624</v>
      </c>
      <c r="H181" s="63">
        <f t="shared" si="78"/>
        <v>7963.3685048775624</v>
      </c>
      <c r="I181" s="63">
        <f t="shared" si="78"/>
        <v>7963.3685048775624</v>
      </c>
    </row>
    <row r="182" spans="1:9" x14ac:dyDescent="0.25">
      <c r="A182" s="12"/>
      <c r="B182" s="17"/>
      <c r="C182" s="17"/>
      <c r="D182" s="17"/>
      <c r="E182" s="9"/>
      <c r="F182" s="10">
        <f>60000/7.5345</f>
        <v>7963.3685048775624</v>
      </c>
      <c r="G182" s="63">
        <f t="shared" ref="G182:I182" si="79">60000/7.5345</f>
        <v>7963.3685048775624</v>
      </c>
      <c r="H182" s="63">
        <f t="shared" si="79"/>
        <v>7963.3685048775624</v>
      </c>
      <c r="I182" s="63">
        <f t="shared" si="79"/>
        <v>7963.3685048775624</v>
      </c>
    </row>
    <row r="183" spans="1:9" ht="25.5" x14ac:dyDescent="0.25">
      <c r="A183" s="298" t="s">
        <v>140</v>
      </c>
      <c r="B183" s="299"/>
      <c r="C183" s="300"/>
      <c r="D183" s="150" t="s">
        <v>141</v>
      </c>
      <c r="E183" s="132">
        <f>E192+E201+E211+E219</f>
        <v>28204.955869666199</v>
      </c>
      <c r="F183" s="132">
        <v>53491.81</v>
      </c>
      <c r="G183" s="132">
        <f>G188+G226+G241</f>
        <v>92819.624366580407</v>
      </c>
      <c r="H183" s="132">
        <f t="shared" ref="H183:I183" si="80">H188+H226+H241</f>
        <v>92819.624366580407</v>
      </c>
      <c r="I183" s="132">
        <f t="shared" si="80"/>
        <v>92819.624366580407</v>
      </c>
    </row>
    <row r="184" spans="1:9" x14ac:dyDescent="0.25">
      <c r="A184" s="196"/>
      <c r="B184" s="197"/>
      <c r="C184" s="198"/>
      <c r="D184" s="150"/>
      <c r="E184" s="132"/>
      <c r="F184" s="132"/>
      <c r="G184" s="132"/>
      <c r="H184" s="132"/>
      <c r="I184" s="132"/>
    </row>
    <row r="185" spans="1:9" x14ac:dyDescent="0.25">
      <c r="A185" s="115"/>
      <c r="B185" s="116"/>
      <c r="C185" s="117"/>
      <c r="D185" s="89"/>
      <c r="E185" s="125"/>
      <c r="F185" s="125"/>
      <c r="G185" s="78"/>
      <c r="H185" s="78"/>
      <c r="I185" s="78"/>
    </row>
    <row r="186" spans="1:9" x14ac:dyDescent="0.25">
      <c r="A186" s="298" t="s">
        <v>146</v>
      </c>
      <c r="B186" s="299"/>
      <c r="C186" s="300"/>
      <c r="D186" s="150" t="s">
        <v>147</v>
      </c>
      <c r="E186" s="131"/>
      <c r="F186" s="131"/>
      <c r="G186" s="61"/>
      <c r="H186" s="61"/>
      <c r="I186" s="61"/>
    </row>
    <row r="187" spans="1:9" x14ac:dyDescent="0.25">
      <c r="A187" s="155"/>
      <c r="B187" s="156"/>
      <c r="C187" s="157">
        <v>54</v>
      </c>
      <c r="D187" s="94"/>
      <c r="E187" s="131"/>
      <c r="F187" s="131"/>
      <c r="G187" s="61"/>
      <c r="H187" s="61"/>
      <c r="I187" s="61"/>
    </row>
    <row r="188" spans="1:9" x14ac:dyDescent="0.25">
      <c r="A188" s="155"/>
      <c r="B188" s="156">
        <v>3222</v>
      </c>
      <c r="C188" s="157"/>
      <c r="D188" s="94" t="s">
        <v>136</v>
      </c>
      <c r="E188" s="131">
        <f>13785.07/7.5345</f>
        <v>1829.5932045922091</v>
      </c>
      <c r="F188" s="131">
        <f>26508/7.5345</f>
        <v>3518.2162054549071</v>
      </c>
      <c r="G188" s="61">
        <f>26508/7.5345</f>
        <v>3518.2162054549071</v>
      </c>
      <c r="H188" s="61">
        <f t="shared" ref="H188:I188" si="81">26508/7.5345</f>
        <v>3518.2162054549071</v>
      </c>
      <c r="I188" s="61">
        <f t="shared" si="81"/>
        <v>3518.2162054549071</v>
      </c>
    </row>
    <row r="189" spans="1:9" x14ac:dyDescent="0.25">
      <c r="D189" s="149"/>
      <c r="E189" s="55"/>
      <c r="F189" s="55"/>
    </row>
    <row r="190" spans="1:9" x14ac:dyDescent="0.25">
      <c r="A190" s="298" t="s">
        <v>142</v>
      </c>
      <c r="B190" s="299"/>
      <c r="C190" s="300"/>
      <c r="D190" s="150" t="s">
        <v>143</v>
      </c>
      <c r="E190" s="131"/>
      <c r="F190" s="131"/>
      <c r="G190" s="88"/>
      <c r="H190" s="61"/>
      <c r="I190" s="61"/>
    </row>
    <row r="191" spans="1:9" x14ac:dyDescent="0.25">
      <c r="A191" s="295">
        <v>54</v>
      </c>
      <c r="B191" s="296"/>
      <c r="C191" s="297"/>
      <c r="D191" s="94" t="s">
        <v>144</v>
      </c>
      <c r="E191" s="131"/>
      <c r="F191" s="131"/>
      <c r="G191" s="61"/>
      <c r="H191" s="61"/>
      <c r="I191" s="61"/>
    </row>
    <row r="192" spans="1:9" x14ac:dyDescent="0.25">
      <c r="A192" s="301">
        <v>3</v>
      </c>
      <c r="B192" s="302"/>
      <c r="C192" s="303"/>
      <c r="D192" s="94" t="s">
        <v>22</v>
      </c>
      <c r="E192" s="132">
        <f>E193+E188</f>
        <v>12440.780410113477</v>
      </c>
      <c r="F192" s="132">
        <f>F193+F188</f>
        <v>14698.993961112217</v>
      </c>
      <c r="G192" s="62"/>
      <c r="H192" s="62"/>
      <c r="I192" s="62"/>
    </row>
    <row r="193" spans="1:9" x14ac:dyDescent="0.25">
      <c r="A193" s="304">
        <v>311</v>
      </c>
      <c r="B193" s="305"/>
      <c r="C193" s="306"/>
      <c r="D193" s="94" t="s">
        <v>23</v>
      </c>
      <c r="E193" s="132">
        <f>SUM(E194:E197)</f>
        <v>10611.187205521268</v>
      </c>
      <c r="F193" s="132">
        <f t="shared" ref="F193" si="82">SUM(F194:F197)</f>
        <v>11180.777755657309</v>
      </c>
      <c r="G193" s="62"/>
      <c r="H193" s="62"/>
      <c r="I193" s="62"/>
    </row>
    <row r="194" spans="1:9" x14ac:dyDescent="0.25">
      <c r="A194" s="155"/>
      <c r="B194" s="156">
        <v>3111</v>
      </c>
      <c r="C194" s="157"/>
      <c r="D194" s="94" t="s">
        <v>110</v>
      </c>
      <c r="E194" s="131">
        <f>55968.75/7.5345</f>
        <v>7428.3296834561015</v>
      </c>
      <c r="F194" s="131">
        <f>62568.75/7.5345</f>
        <v>8304.3002189926337</v>
      </c>
      <c r="G194" s="61"/>
      <c r="H194" s="61"/>
      <c r="I194" s="61"/>
    </row>
    <row r="195" spans="1:9" x14ac:dyDescent="0.25">
      <c r="A195" s="155"/>
      <c r="B195" s="156">
        <v>3121</v>
      </c>
      <c r="C195" s="157"/>
      <c r="D195" s="94" t="s">
        <v>111</v>
      </c>
      <c r="E195" s="131">
        <f>7500/7.5345</f>
        <v>995.4210631096953</v>
      </c>
      <c r="F195" s="131">
        <f>4500/7.5345</f>
        <v>597.25263786581718</v>
      </c>
      <c r="G195" s="61"/>
      <c r="H195" s="61"/>
      <c r="I195" s="61"/>
    </row>
    <row r="196" spans="1:9" ht="25.5" x14ac:dyDescent="0.25">
      <c r="A196" s="155"/>
      <c r="B196" s="156">
        <v>3132</v>
      </c>
      <c r="C196" s="157"/>
      <c r="D196" s="94" t="s">
        <v>145</v>
      </c>
      <c r="E196" s="131">
        <f>9234.87/7.5345</f>
        <v>1225.6778817439777</v>
      </c>
      <c r="F196" s="131">
        <f>9191.64/7.5345</f>
        <v>1219.9402747362133</v>
      </c>
      <c r="G196" s="61"/>
      <c r="H196" s="61"/>
      <c r="I196" s="61"/>
    </row>
    <row r="197" spans="1:9" x14ac:dyDescent="0.25">
      <c r="A197" s="155"/>
      <c r="B197" s="156">
        <v>3212</v>
      </c>
      <c r="C197" s="157"/>
      <c r="D197" s="94" t="s">
        <v>64</v>
      </c>
      <c r="E197" s="131">
        <f>7246.37/7.5345</f>
        <v>961.75857721149373</v>
      </c>
      <c r="F197" s="131">
        <f>7981.18/7.5345</f>
        <v>1059.2846240626452</v>
      </c>
      <c r="G197" s="61"/>
      <c r="H197" s="61"/>
      <c r="I197" s="61"/>
    </row>
    <row r="198" spans="1:9" x14ac:dyDescent="0.25">
      <c r="A198" s="155"/>
      <c r="B198" s="156"/>
      <c r="C198" s="157"/>
      <c r="D198" s="94"/>
      <c r="E198" s="131"/>
      <c r="F198" s="131"/>
      <c r="G198" s="61"/>
      <c r="H198" s="61"/>
      <c r="I198" s="61"/>
    </row>
    <row r="199" spans="1:9" x14ac:dyDescent="0.25">
      <c r="A199" s="298" t="s">
        <v>148</v>
      </c>
      <c r="B199" s="299"/>
      <c r="C199" s="300"/>
      <c r="D199" s="150" t="s">
        <v>149</v>
      </c>
      <c r="E199" s="131"/>
      <c r="F199" s="131"/>
      <c r="G199" s="61"/>
      <c r="H199" s="61"/>
      <c r="I199" s="61"/>
    </row>
    <row r="200" spans="1:9" x14ac:dyDescent="0.25">
      <c r="A200" s="155"/>
      <c r="B200" s="156"/>
      <c r="C200" s="157">
        <v>54</v>
      </c>
      <c r="D200" s="94"/>
      <c r="E200" s="131"/>
      <c r="F200" s="131"/>
      <c r="G200" s="61"/>
      <c r="H200" s="61"/>
      <c r="I200" s="61"/>
    </row>
    <row r="201" spans="1:9" x14ac:dyDescent="0.25">
      <c r="A201" s="304">
        <v>311</v>
      </c>
      <c r="B201" s="305"/>
      <c r="C201" s="306"/>
      <c r="D201" s="94" t="s">
        <v>23</v>
      </c>
      <c r="E201" s="132">
        <f>SUM(E202:E206)</f>
        <v>3782.0810936359412</v>
      </c>
      <c r="F201" s="132">
        <f>SUM(F202:F206)</f>
        <v>34984.99303205256</v>
      </c>
      <c r="G201" s="62"/>
      <c r="H201" s="62"/>
      <c r="I201" s="62"/>
    </row>
    <row r="202" spans="1:9" x14ac:dyDescent="0.25">
      <c r="A202" s="155"/>
      <c r="B202" s="156">
        <v>3111</v>
      </c>
      <c r="C202" s="157"/>
      <c r="D202" s="94" t="s">
        <v>110</v>
      </c>
      <c r="E202" s="131">
        <f>20248.44/7.5345</f>
        <v>2687.4298228150506</v>
      </c>
      <c r="F202" s="131">
        <f>199031.25/7.5345</f>
        <v>26415.98646227354</v>
      </c>
      <c r="G202" s="61"/>
      <c r="H202" s="61"/>
      <c r="I202" s="61"/>
    </row>
    <row r="203" spans="1:9" x14ac:dyDescent="0.25">
      <c r="A203" s="155"/>
      <c r="B203" s="156">
        <v>3121</v>
      </c>
      <c r="C203" s="157"/>
      <c r="D203" s="94" t="s">
        <v>111</v>
      </c>
      <c r="E203" s="131">
        <f>1800/7.5345</f>
        <v>238.90105514632688</v>
      </c>
      <c r="F203" s="131">
        <f>13000/7.5345</f>
        <v>1725.3965093901386</v>
      </c>
      <c r="G203" s="61"/>
      <c r="H203" s="61"/>
      <c r="I203" s="61"/>
    </row>
    <row r="204" spans="1:9" ht="25.5" x14ac:dyDescent="0.25">
      <c r="A204" s="155"/>
      <c r="B204" s="156">
        <v>3132</v>
      </c>
      <c r="C204" s="157"/>
      <c r="D204" s="94" t="s">
        <v>145</v>
      </c>
      <c r="E204" s="131">
        <f>3340.99/7.5345</f>
        <v>443.42557568518146</v>
      </c>
      <c r="F204" s="131">
        <f>25508.36/7.5345</f>
        <v>3385.5411772513107</v>
      </c>
      <c r="G204" s="61"/>
      <c r="H204" s="61"/>
      <c r="I204" s="61"/>
    </row>
    <row r="205" spans="1:9" x14ac:dyDescent="0.25">
      <c r="A205" s="155"/>
      <c r="B205" s="156">
        <v>3211</v>
      </c>
      <c r="C205" s="157"/>
      <c r="D205" s="94" t="s">
        <v>63</v>
      </c>
      <c r="E205" s="131"/>
      <c r="F205" s="131">
        <f>800/7.5345</f>
        <v>106.17824673170084</v>
      </c>
      <c r="G205" s="61"/>
      <c r="H205" s="61"/>
      <c r="I205" s="61"/>
    </row>
    <row r="206" spans="1:9" x14ac:dyDescent="0.25">
      <c r="A206" s="155"/>
      <c r="B206" s="156">
        <v>3212</v>
      </c>
      <c r="C206" s="157"/>
      <c r="D206" s="94" t="s">
        <v>64</v>
      </c>
      <c r="E206" s="131">
        <f>3106.66/7.5345</f>
        <v>412.32463998938215</v>
      </c>
      <c r="F206" s="131">
        <f>25254.82/7.5345</f>
        <v>3351.8906364058662</v>
      </c>
      <c r="G206" s="61"/>
      <c r="H206" s="61"/>
      <c r="I206" s="61"/>
    </row>
    <row r="207" spans="1:9" x14ac:dyDescent="0.25">
      <c r="A207" s="115"/>
      <c r="B207" s="116"/>
      <c r="C207" s="117"/>
      <c r="D207" s="89"/>
      <c r="E207" s="125"/>
      <c r="F207" s="125"/>
      <c r="G207" s="78"/>
      <c r="H207" s="78"/>
      <c r="I207" s="78"/>
    </row>
    <row r="208" spans="1:9" x14ac:dyDescent="0.25">
      <c r="A208" s="298" t="s">
        <v>142</v>
      </c>
      <c r="B208" s="299"/>
      <c r="C208" s="300"/>
      <c r="D208" s="150" t="s">
        <v>143</v>
      </c>
      <c r="E208" s="131"/>
      <c r="F208" s="131"/>
      <c r="G208" s="9"/>
      <c r="H208" s="9"/>
      <c r="I208" s="9"/>
    </row>
    <row r="209" spans="1:9" x14ac:dyDescent="0.25">
      <c r="A209" s="295">
        <v>13</v>
      </c>
      <c r="B209" s="296"/>
      <c r="C209" s="297"/>
      <c r="D209" s="94" t="s">
        <v>150</v>
      </c>
      <c r="E209" s="131"/>
      <c r="F209" s="131"/>
      <c r="G209" s="9"/>
      <c r="H209" s="9"/>
      <c r="I209" s="9"/>
    </row>
    <row r="210" spans="1:9" x14ac:dyDescent="0.25">
      <c r="A210" s="298"/>
      <c r="B210" s="299"/>
      <c r="C210" s="300"/>
      <c r="D210" s="150"/>
      <c r="E210" s="131"/>
      <c r="F210" s="131"/>
      <c r="G210" s="9"/>
      <c r="H210" s="9"/>
      <c r="I210" s="9"/>
    </row>
    <row r="211" spans="1:9" x14ac:dyDescent="0.25">
      <c r="A211" s="301">
        <v>3</v>
      </c>
      <c r="B211" s="302"/>
      <c r="C211" s="303"/>
      <c r="D211" s="94" t="s">
        <v>22</v>
      </c>
      <c r="E211" s="132">
        <f>E212</f>
        <v>9235.5989116729706</v>
      </c>
      <c r="F211" s="132">
        <f>F212</f>
        <v>3807.8173734156217</v>
      </c>
      <c r="G211" s="62"/>
      <c r="H211" s="62"/>
      <c r="I211" s="62"/>
    </row>
    <row r="212" spans="1:9" x14ac:dyDescent="0.25">
      <c r="A212" s="304">
        <v>311</v>
      </c>
      <c r="B212" s="305"/>
      <c r="C212" s="306"/>
      <c r="D212" s="94" t="s">
        <v>23</v>
      </c>
      <c r="E212" s="132">
        <f>SUM(E213:E215)</f>
        <v>9235.5989116729706</v>
      </c>
      <c r="F212" s="132">
        <f>SUM(F213:F215)</f>
        <v>3807.8173734156217</v>
      </c>
      <c r="G212" s="62"/>
      <c r="H212" s="62"/>
      <c r="I212" s="62"/>
    </row>
    <row r="213" spans="1:9" x14ac:dyDescent="0.25">
      <c r="A213" s="155"/>
      <c r="B213" s="156">
        <v>3111</v>
      </c>
      <c r="C213" s="157"/>
      <c r="D213" s="94" t="s">
        <v>110</v>
      </c>
      <c r="E213" s="131">
        <f>53851.56/7.5345</f>
        <v>7147.3302807087393</v>
      </c>
      <c r="F213" s="131">
        <f>20950/7.5345</f>
        <v>2780.5428362864159</v>
      </c>
      <c r="G213" s="61"/>
      <c r="H213" s="61"/>
      <c r="I213" s="61"/>
    </row>
    <row r="214" spans="1:9" ht="25.5" x14ac:dyDescent="0.25">
      <c r="A214" s="155"/>
      <c r="B214" s="156">
        <v>3132</v>
      </c>
      <c r="C214" s="157"/>
      <c r="D214" s="94" t="s">
        <v>145</v>
      </c>
      <c r="E214" s="131">
        <f>8885.51/7.5345</f>
        <v>1179.3098413962439</v>
      </c>
      <c r="F214" s="131">
        <f>3500/7.5345</f>
        <v>464.52982945119118</v>
      </c>
      <c r="G214" s="61"/>
      <c r="H214" s="61"/>
      <c r="I214" s="61"/>
    </row>
    <row r="215" spans="1:9" x14ac:dyDescent="0.25">
      <c r="A215" s="155"/>
      <c r="B215" s="156">
        <v>3212</v>
      </c>
      <c r="C215" s="157"/>
      <c r="D215" s="94" t="s">
        <v>64</v>
      </c>
      <c r="E215" s="131">
        <f>6848.55/7.5345</f>
        <v>908.9587895679872</v>
      </c>
      <c r="F215" s="131">
        <f>4240/7.5345</f>
        <v>562.74470767801438</v>
      </c>
      <c r="G215" s="61"/>
      <c r="H215" s="61"/>
      <c r="I215" s="61"/>
    </row>
    <row r="216" spans="1:9" x14ac:dyDescent="0.25">
      <c r="A216" s="115"/>
      <c r="B216" s="116"/>
      <c r="C216" s="117"/>
      <c r="D216" s="89"/>
      <c r="E216" s="125"/>
      <c r="F216" s="125"/>
      <c r="G216" s="78"/>
      <c r="H216" s="78"/>
      <c r="I216" s="78"/>
    </row>
    <row r="217" spans="1:9" x14ac:dyDescent="0.25">
      <c r="A217" s="298" t="s">
        <v>148</v>
      </c>
      <c r="B217" s="299"/>
      <c r="C217" s="300"/>
      <c r="D217" s="150" t="s">
        <v>149</v>
      </c>
      <c r="E217" s="131"/>
      <c r="F217" s="131"/>
      <c r="G217" s="61"/>
      <c r="H217" s="61"/>
      <c r="I217" s="61"/>
    </row>
    <row r="218" spans="1:9" x14ac:dyDescent="0.25">
      <c r="A218" s="155"/>
      <c r="B218" s="156"/>
      <c r="C218" s="157">
        <v>13</v>
      </c>
      <c r="D218" s="94" t="s">
        <v>150</v>
      </c>
      <c r="E218" s="131"/>
      <c r="F218" s="131"/>
      <c r="G218" s="61"/>
      <c r="H218" s="61"/>
      <c r="I218" s="61"/>
    </row>
    <row r="219" spans="1:9" x14ac:dyDescent="0.25">
      <c r="A219" s="304">
        <v>311</v>
      </c>
      <c r="B219" s="305"/>
      <c r="C219" s="306"/>
      <c r="D219" s="94" t="s">
        <v>23</v>
      </c>
      <c r="E219" s="132">
        <f>SUM(E220:E223)</f>
        <v>2746.4954542438118</v>
      </c>
      <c r="F219" s="132"/>
      <c r="G219" s="62"/>
      <c r="H219" s="62"/>
      <c r="I219" s="62"/>
    </row>
    <row r="220" spans="1:9" x14ac:dyDescent="0.25">
      <c r="A220" s="155"/>
      <c r="B220" s="156">
        <v>3111</v>
      </c>
      <c r="C220" s="157"/>
      <c r="D220" s="94" t="s">
        <v>110</v>
      </c>
      <c r="E220" s="131">
        <f>11281.25/7.5345</f>
        <v>1497.2791824275</v>
      </c>
      <c r="F220" s="131"/>
      <c r="G220" s="61"/>
      <c r="H220" s="61"/>
      <c r="I220" s="61"/>
    </row>
    <row r="221" spans="1:9" x14ac:dyDescent="0.25">
      <c r="A221" s="155"/>
      <c r="B221" s="156">
        <v>3121</v>
      </c>
      <c r="C221" s="157"/>
      <c r="D221" s="94" t="s">
        <v>111</v>
      </c>
      <c r="E221" s="131">
        <f>6000/7.5345</f>
        <v>796.33685048775624</v>
      </c>
      <c r="F221" s="131"/>
      <c r="G221" s="61"/>
      <c r="H221" s="61"/>
      <c r="I221" s="61"/>
    </row>
    <row r="222" spans="1:9" ht="25.5" x14ac:dyDescent="0.25">
      <c r="A222" s="155"/>
      <c r="B222" s="156">
        <v>3132</v>
      </c>
      <c r="C222" s="157"/>
      <c r="D222" s="94" t="s">
        <v>145</v>
      </c>
      <c r="E222" s="131">
        <f>2112.22/7.5345</f>
        <v>280.3397703895414</v>
      </c>
      <c r="F222" s="131"/>
      <c r="G222" s="61"/>
      <c r="H222" s="61"/>
      <c r="I222" s="61"/>
    </row>
    <row r="223" spans="1:9" x14ac:dyDescent="0.25">
      <c r="A223" s="155"/>
      <c r="B223" s="156">
        <v>3212</v>
      </c>
      <c r="C223" s="157"/>
      <c r="D223" s="94" t="s">
        <v>64</v>
      </c>
      <c r="E223" s="131">
        <f>1300/7.5345</f>
        <v>172.53965093901385</v>
      </c>
      <c r="F223" s="131"/>
      <c r="G223" s="61"/>
      <c r="H223" s="61"/>
      <c r="I223" s="61"/>
    </row>
    <row r="224" spans="1:9" x14ac:dyDescent="0.25">
      <c r="A224" s="115"/>
      <c r="B224" s="116"/>
      <c r="C224" s="117"/>
      <c r="D224" s="89"/>
      <c r="E224" s="125"/>
      <c r="F224" s="125"/>
      <c r="G224" s="78"/>
      <c r="H224" s="78"/>
      <c r="I224" s="78"/>
    </row>
    <row r="225" spans="1:9" x14ac:dyDescent="0.25">
      <c r="A225" s="155"/>
      <c r="B225" s="156"/>
      <c r="C225" s="157"/>
      <c r="D225" s="94"/>
      <c r="E225" s="131"/>
      <c r="F225" s="131"/>
      <c r="G225" s="61"/>
      <c r="H225" s="61"/>
      <c r="I225" s="61"/>
    </row>
    <row r="226" spans="1:9" x14ac:dyDescent="0.25">
      <c r="A226" s="298" t="s">
        <v>148</v>
      </c>
      <c r="B226" s="299"/>
      <c r="C226" s="300"/>
      <c r="D226" s="150" t="s">
        <v>157</v>
      </c>
      <c r="E226" s="131"/>
      <c r="F226" s="131"/>
      <c r="G226" s="61">
        <f>G228+G233</f>
        <v>52580.758161125501</v>
      </c>
      <c r="H226" s="61">
        <f t="shared" ref="H226:I226" si="83">H228+H233</f>
        <v>52580.758161125501</v>
      </c>
      <c r="I226" s="61">
        <f t="shared" si="83"/>
        <v>52580.758161125501</v>
      </c>
    </row>
    <row r="227" spans="1:9" x14ac:dyDescent="0.25">
      <c r="A227" s="196" t="s">
        <v>188</v>
      </c>
      <c r="B227" s="197"/>
      <c r="C227" s="198">
        <v>11</v>
      </c>
      <c r="D227" s="150"/>
      <c r="E227" s="131"/>
      <c r="F227" s="131"/>
      <c r="G227" s="61"/>
      <c r="H227" s="61"/>
      <c r="I227" s="61"/>
    </row>
    <row r="228" spans="1:9" s="49" customFormat="1" x14ac:dyDescent="0.25">
      <c r="A228" s="292">
        <v>311</v>
      </c>
      <c r="B228" s="293"/>
      <c r="C228" s="294"/>
      <c r="D228" s="150" t="s">
        <v>23</v>
      </c>
      <c r="E228" s="132"/>
      <c r="F228" s="132"/>
      <c r="G228" s="62">
        <f>SUM(G229:G230)</f>
        <v>2554.09</v>
      </c>
      <c r="H228" s="62">
        <f>SUM(H229:H230)</f>
        <v>2554.09</v>
      </c>
      <c r="I228" s="62">
        <f>SUM(I229:I230)</f>
        <v>2554.09</v>
      </c>
    </row>
    <row r="229" spans="1:9" x14ac:dyDescent="0.25">
      <c r="A229" s="193"/>
      <c r="B229" s="194">
        <v>3111</v>
      </c>
      <c r="C229" s="195"/>
      <c r="D229" s="94" t="s">
        <v>110</v>
      </c>
      <c r="E229" s="131"/>
      <c r="F229" s="131"/>
      <c r="G229" s="61">
        <v>2250.0500000000002</v>
      </c>
      <c r="H229" s="61">
        <v>2250.0500000000002</v>
      </c>
      <c r="I229" s="61">
        <v>2250.0500000000002</v>
      </c>
    </row>
    <row r="230" spans="1:9" ht="25.5" x14ac:dyDescent="0.25">
      <c r="A230" s="193"/>
      <c r="B230" s="194">
        <v>3132</v>
      </c>
      <c r="C230" s="195"/>
      <c r="D230" s="94" t="s">
        <v>145</v>
      </c>
      <c r="E230" s="131"/>
      <c r="F230" s="131"/>
      <c r="G230" s="61">
        <v>304.04000000000002</v>
      </c>
      <c r="H230" s="61">
        <v>304.04000000000002</v>
      </c>
      <c r="I230" s="61">
        <v>304.04000000000002</v>
      </c>
    </row>
    <row r="231" spans="1:9" x14ac:dyDescent="0.25">
      <c r="A231" s="196"/>
      <c r="B231" s="197"/>
      <c r="C231" s="198"/>
      <c r="D231" s="150"/>
      <c r="E231" s="131"/>
      <c r="F231" s="131"/>
      <c r="G231" s="61"/>
      <c r="H231" s="61"/>
      <c r="I231" s="61"/>
    </row>
    <row r="232" spans="1:9" x14ac:dyDescent="0.25">
      <c r="A232" s="196"/>
      <c r="B232" s="197"/>
      <c r="C232" s="198"/>
      <c r="D232" s="150"/>
      <c r="E232" s="131"/>
      <c r="F232" s="131"/>
      <c r="G232" s="61"/>
      <c r="H232" s="61"/>
      <c r="I232" s="61"/>
    </row>
    <row r="233" spans="1:9" x14ac:dyDescent="0.25">
      <c r="A233" s="155"/>
      <c r="B233" s="156"/>
      <c r="C233" s="157">
        <v>54</v>
      </c>
      <c r="D233" s="94"/>
      <c r="E233" s="62"/>
      <c r="F233" s="62">
        <f t="shared" ref="F233" si="84">F234</f>
        <v>0</v>
      </c>
      <c r="G233" s="62">
        <f>G234</f>
        <v>50026.668161125497</v>
      </c>
      <c r="H233" s="62">
        <f t="shared" ref="H233:I233" si="85">H234</f>
        <v>50026.668161125497</v>
      </c>
      <c r="I233" s="62">
        <f t="shared" si="85"/>
        <v>50026.668161125497</v>
      </c>
    </row>
    <row r="234" spans="1:9" x14ac:dyDescent="0.25">
      <c r="A234" s="304">
        <v>311</v>
      </c>
      <c r="B234" s="305"/>
      <c r="C234" s="306"/>
      <c r="D234" s="94" t="s">
        <v>23</v>
      </c>
      <c r="E234" s="132"/>
      <c r="F234" s="132"/>
      <c r="G234" s="62">
        <f>SUM(G235:G239)</f>
        <v>50026.668161125497</v>
      </c>
      <c r="H234" s="62">
        <f t="shared" ref="H234:I234" si="86">SUM(H235:H239)</f>
        <v>50026.668161125497</v>
      </c>
      <c r="I234" s="62">
        <f t="shared" si="86"/>
        <v>50026.668161125497</v>
      </c>
    </row>
    <row r="235" spans="1:9" x14ac:dyDescent="0.25">
      <c r="A235" s="155"/>
      <c r="B235" s="156">
        <v>3111</v>
      </c>
      <c r="C235" s="157"/>
      <c r="D235" s="94" t="s">
        <v>110</v>
      </c>
      <c r="E235" s="131"/>
      <c r="F235" s="131"/>
      <c r="G235" s="61">
        <f>282550/7.5345</f>
        <v>37500.829517552593</v>
      </c>
      <c r="H235" s="61">
        <f t="shared" ref="H235:I235" si="87">282550/7.5345</f>
        <v>37500.829517552593</v>
      </c>
      <c r="I235" s="61">
        <f t="shared" si="87"/>
        <v>37500.829517552593</v>
      </c>
    </row>
    <row r="236" spans="1:9" x14ac:dyDescent="0.25">
      <c r="A236" s="155"/>
      <c r="B236" s="156">
        <v>3121</v>
      </c>
      <c r="C236" s="157"/>
      <c r="D236" s="94" t="s">
        <v>111</v>
      </c>
      <c r="E236" s="131"/>
      <c r="F236" s="131"/>
      <c r="G236" s="61">
        <f>17500/7.5345</f>
        <v>2322.649147255956</v>
      </c>
      <c r="H236" s="61">
        <f t="shared" ref="H236:I236" si="88">17500/7.5345</f>
        <v>2322.649147255956</v>
      </c>
      <c r="I236" s="61">
        <f t="shared" si="88"/>
        <v>2322.649147255956</v>
      </c>
    </row>
    <row r="237" spans="1:9" ht="25.5" x14ac:dyDescent="0.25">
      <c r="A237" s="155"/>
      <c r="B237" s="156">
        <v>3132</v>
      </c>
      <c r="C237" s="157"/>
      <c r="D237" s="94" t="s">
        <v>145</v>
      </c>
      <c r="E237" s="131"/>
      <c r="F237" s="131"/>
      <c r="G237" s="61">
        <f>38200/7.5345</f>
        <v>5070.0112814387148</v>
      </c>
      <c r="H237" s="61">
        <f t="shared" ref="H237:I237" si="89">38200/7.5345</f>
        <v>5070.0112814387148</v>
      </c>
      <c r="I237" s="61">
        <f t="shared" si="89"/>
        <v>5070.0112814387148</v>
      </c>
    </row>
    <row r="238" spans="1:9" x14ac:dyDescent="0.25">
      <c r="A238" s="135"/>
      <c r="B238" s="136">
        <v>3211</v>
      </c>
      <c r="C238" s="137"/>
      <c r="D238" s="151" t="s">
        <v>199</v>
      </c>
      <c r="E238" s="138"/>
      <c r="F238" s="138"/>
      <c r="G238" s="139">
        <v>53.08</v>
      </c>
      <c r="H238" s="139">
        <v>53.08</v>
      </c>
      <c r="I238" s="139">
        <v>53.08</v>
      </c>
    </row>
    <row r="239" spans="1:9" x14ac:dyDescent="0.25">
      <c r="A239" s="135"/>
      <c r="B239" s="136">
        <v>3212</v>
      </c>
      <c r="C239" s="137"/>
      <c r="D239" s="151" t="s">
        <v>64</v>
      </c>
      <c r="E239" s="138"/>
      <c r="F239" s="138"/>
      <c r="G239" s="139">
        <f>38276/7.5345</f>
        <v>5080.0982148782268</v>
      </c>
      <c r="H239" s="139">
        <f t="shared" ref="H239:I239" si="90">38276/7.5345</f>
        <v>5080.0982148782268</v>
      </c>
      <c r="I239" s="139">
        <f t="shared" si="90"/>
        <v>5080.0982148782268</v>
      </c>
    </row>
    <row r="240" spans="1:9" x14ac:dyDescent="0.25">
      <c r="A240" s="146"/>
      <c r="B240" s="147"/>
      <c r="C240" s="147"/>
      <c r="D240" s="146"/>
      <c r="E240" s="148"/>
      <c r="F240" s="148"/>
      <c r="G240" s="146"/>
      <c r="H240" s="146"/>
      <c r="I240" s="146"/>
    </row>
    <row r="241" spans="1:9" x14ac:dyDescent="0.25">
      <c r="A241" s="298" t="s">
        <v>196</v>
      </c>
      <c r="B241" s="299"/>
      <c r="C241" s="300"/>
      <c r="D241" s="150" t="s">
        <v>195</v>
      </c>
      <c r="E241" s="131"/>
      <c r="F241" s="131"/>
      <c r="G241" s="61">
        <f>G244+G248</f>
        <v>36720.65</v>
      </c>
      <c r="H241" s="61">
        <f t="shared" ref="H241" si="91">H244+H248</f>
        <v>36720.65</v>
      </c>
      <c r="I241" s="61">
        <f>I244+I248</f>
        <v>36720.65</v>
      </c>
    </row>
    <row r="242" spans="1:9" x14ac:dyDescent="0.25">
      <c r="A242" s="218"/>
      <c r="B242" s="219"/>
      <c r="C242" s="220">
        <v>11</v>
      </c>
      <c r="D242" s="150"/>
      <c r="E242" s="131"/>
      <c r="F242" s="131"/>
      <c r="G242" s="61"/>
      <c r="H242" s="61"/>
      <c r="I242" s="61"/>
    </row>
    <row r="243" spans="1:9" x14ac:dyDescent="0.25">
      <c r="A243" s="292">
        <v>311</v>
      </c>
      <c r="B243" s="293"/>
      <c r="C243" s="294"/>
      <c r="D243" s="150" t="s">
        <v>23</v>
      </c>
      <c r="E243" s="132"/>
      <c r="F243" s="132"/>
      <c r="G243" s="62">
        <f>SUM(G244:G245)</f>
        <v>0</v>
      </c>
      <c r="H243" s="62">
        <f>SUM(H244:H245)</f>
        <v>0</v>
      </c>
      <c r="I243" s="62">
        <f>SUM(I244:I245)</f>
        <v>0</v>
      </c>
    </row>
    <row r="244" spans="1:9" x14ac:dyDescent="0.25">
      <c r="A244" s="221"/>
      <c r="B244" s="222">
        <v>3111</v>
      </c>
      <c r="C244" s="223"/>
      <c r="D244" s="94" t="s">
        <v>110</v>
      </c>
      <c r="E244" s="131"/>
      <c r="F244" s="131"/>
      <c r="G244" s="61"/>
      <c r="H244" s="61"/>
      <c r="I244" s="61"/>
    </row>
    <row r="245" spans="1:9" ht="25.5" x14ac:dyDescent="0.25">
      <c r="A245" s="221"/>
      <c r="B245" s="222">
        <v>3132</v>
      </c>
      <c r="C245" s="223"/>
      <c r="D245" s="94" t="s">
        <v>145</v>
      </c>
      <c r="E245" s="131"/>
      <c r="F245" s="131"/>
      <c r="G245" s="61"/>
      <c r="H245" s="61"/>
      <c r="I245" s="61"/>
    </row>
    <row r="246" spans="1:9" x14ac:dyDescent="0.25">
      <c r="A246" s="218"/>
      <c r="B246" s="219"/>
      <c r="C246" s="220"/>
      <c r="D246" s="150"/>
      <c r="E246" s="131"/>
      <c r="F246" s="131"/>
      <c r="G246" s="61"/>
      <c r="H246" s="61"/>
      <c r="I246" s="61"/>
    </row>
    <row r="247" spans="1:9" x14ac:dyDescent="0.25">
      <c r="A247" s="218"/>
      <c r="B247" s="219"/>
      <c r="C247" s="220"/>
      <c r="D247" s="150"/>
      <c r="E247" s="131"/>
      <c r="F247" s="131"/>
      <c r="G247" s="61"/>
      <c r="H247" s="61"/>
      <c r="I247" s="61"/>
    </row>
    <row r="248" spans="1:9" x14ac:dyDescent="0.25">
      <c r="A248" s="221"/>
      <c r="B248" s="222"/>
      <c r="C248" s="223">
        <v>54</v>
      </c>
      <c r="D248" s="94"/>
      <c r="E248" s="62"/>
      <c r="F248" s="62">
        <f t="shared" ref="F248" si="92">F249</f>
        <v>0</v>
      </c>
      <c r="G248" s="62">
        <f>G249</f>
        <v>36720.65</v>
      </c>
      <c r="H248" s="62">
        <f t="shared" ref="H248" si="93">H249</f>
        <v>36720.65</v>
      </c>
      <c r="I248" s="62">
        <f>I249</f>
        <v>36720.65</v>
      </c>
    </row>
    <row r="249" spans="1:9" x14ac:dyDescent="0.25">
      <c r="A249" s="304">
        <v>311</v>
      </c>
      <c r="B249" s="305"/>
      <c r="C249" s="306"/>
      <c r="D249" s="94" t="s">
        <v>23</v>
      </c>
      <c r="E249" s="132"/>
      <c r="F249" s="132"/>
      <c r="G249" s="62">
        <f>SUM(G250:G254)</f>
        <v>36720.65</v>
      </c>
      <c r="H249" s="62">
        <f>SUM(H250:H254)</f>
        <v>36720.65</v>
      </c>
      <c r="I249" s="62">
        <f>SUM(I250:I254)</f>
        <v>36720.65</v>
      </c>
    </row>
    <row r="250" spans="1:9" x14ac:dyDescent="0.25">
      <c r="A250" s="221"/>
      <c r="B250" s="222">
        <v>3111</v>
      </c>
      <c r="C250" s="223"/>
      <c r="D250" s="94" t="s">
        <v>110</v>
      </c>
      <c r="E250" s="131"/>
      <c r="F250" s="131"/>
      <c r="G250" s="61">
        <v>29500.65</v>
      </c>
      <c r="H250" s="61">
        <v>29500.65</v>
      </c>
      <c r="I250" s="61">
        <v>29500.65</v>
      </c>
    </row>
    <row r="251" spans="1:9" x14ac:dyDescent="0.25">
      <c r="A251" s="221"/>
      <c r="B251" s="222">
        <v>3121</v>
      </c>
      <c r="C251" s="223"/>
      <c r="D251" s="94" t="s">
        <v>111</v>
      </c>
      <c r="E251" s="131"/>
      <c r="F251" s="131"/>
      <c r="G251" s="61">
        <v>3300</v>
      </c>
      <c r="H251" s="61">
        <v>3300</v>
      </c>
      <c r="I251" s="61">
        <v>3300</v>
      </c>
    </row>
    <row r="252" spans="1:9" ht="25.5" x14ac:dyDescent="0.25">
      <c r="A252" s="221"/>
      <c r="B252" s="222">
        <v>3132</v>
      </c>
      <c r="C252" s="223"/>
      <c r="D252" s="94" t="s">
        <v>145</v>
      </c>
      <c r="E252" s="131"/>
      <c r="F252" s="131"/>
      <c r="G252" s="61">
        <v>1690</v>
      </c>
      <c r="H252" s="61">
        <v>1690</v>
      </c>
      <c r="I252" s="61">
        <v>1690</v>
      </c>
    </row>
    <row r="253" spans="1:9" x14ac:dyDescent="0.25">
      <c r="A253" s="135"/>
      <c r="B253" s="136">
        <v>3211</v>
      </c>
      <c r="C253" s="137"/>
      <c r="D253" s="151" t="s">
        <v>63</v>
      </c>
      <c r="E253" s="138"/>
      <c r="F253" s="138"/>
      <c r="G253" s="139">
        <v>530</v>
      </c>
      <c r="H253" s="139">
        <v>530</v>
      </c>
      <c r="I253" s="139">
        <v>530</v>
      </c>
    </row>
    <row r="254" spans="1:9" x14ac:dyDescent="0.25">
      <c r="A254" s="135"/>
      <c r="B254" s="136">
        <v>3212</v>
      </c>
      <c r="C254" s="137"/>
      <c r="D254" s="151" t="s">
        <v>64</v>
      </c>
      <c r="E254" s="138"/>
      <c r="F254" s="138"/>
      <c r="G254" s="139">
        <v>1700</v>
      </c>
      <c r="H254" s="139">
        <v>1700</v>
      </c>
      <c r="I254" s="139">
        <v>1700</v>
      </c>
    </row>
  </sheetData>
  <mergeCells count="27">
    <mergeCell ref="A241:C241"/>
    <mergeCell ref="A243:C243"/>
    <mergeCell ref="A249:C249"/>
    <mergeCell ref="A7:I7"/>
    <mergeCell ref="A50:I50"/>
    <mergeCell ref="A186:C186"/>
    <mergeCell ref="A190:C190"/>
    <mergeCell ref="A191:C191"/>
    <mergeCell ref="A192:C192"/>
    <mergeCell ref="A193:C193"/>
    <mergeCell ref="A199:C199"/>
    <mergeCell ref="A201:C201"/>
    <mergeCell ref="A208:C208"/>
    <mergeCell ref="A219:C219"/>
    <mergeCell ref="A226:C226"/>
    <mergeCell ref="A234:C234"/>
    <mergeCell ref="A1:I1"/>
    <mergeCell ref="A3:I3"/>
    <mergeCell ref="A5:I5"/>
    <mergeCell ref="A53:C53"/>
    <mergeCell ref="A183:C183"/>
    <mergeCell ref="A228:C228"/>
    <mergeCell ref="A209:C209"/>
    <mergeCell ref="A210:C210"/>
    <mergeCell ref="A211:C211"/>
    <mergeCell ref="A212:C212"/>
    <mergeCell ref="A217:C217"/>
  </mergeCells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A2" sqref="A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271" t="s">
        <v>203</v>
      </c>
      <c r="B1" s="271"/>
      <c r="C1" s="271"/>
      <c r="D1" s="271"/>
      <c r="E1" s="271"/>
      <c r="F1" s="27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271" t="s">
        <v>36</v>
      </c>
      <c r="B3" s="271"/>
      <c r="C3" s="271"/>
      <c r="D3" s="271"/>
      <c r="E3" s="288"/>
      <c r="F3" s="28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271" t="s">
        <v>15</v>
      </c>
      <c r="B5" s="272"/>
      <c r="C5" s="272"/>
      <c r="D5" s="272"/>
      <c r="E5" s="272"/>
      <c r="F5" s="27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271" t="s">
        <v>26</v>
      </c>
      <c r="B7" s="310"/>
      <c r="C7" s="310"/>
      <c r="D7" s="310"/>
      <c r="E7" s="310"/>
      <c r="F7" s="310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5" t="s">
        <v>27</v>
      </c>
      <c r="B9" s="24" t="s">
        <v>12</v>
      </c>
      <c r="C9" s="25" t="s">
        <v>13</v>
      </c>
      <c r="D9" s="25" t="s">
        <v>50</v>
      </c>
      <c r="E9" s="25" t="s">
        <v>51</v>
      </c>
      <c r="F9" s="25" t="s">
        <v>52</v>
      </c>
    </row>
    <row r="10" spans="1:6" ht="15.75" customHeight="1" x14ac:dyDescent="0.25">
      <c r="A10" s="12" t="s">
        <v>28</v>
      </c>
      <c r="B10" s="61">
        <f>SUM(B11:B14)</f>
        <v>1225327.6100000001</v>
      </c>
      <c r="C10" s="61">
        <f t="shared" ref="C10" si="0">SUM(C11:C14)</f>
        <v>1346630.98</v>
      </c>
      <c r="D10" s="61">
        <f>SUM(D11:D14)</f>
        <v>1719230.39</v>
      </c>
      <c r="E10" s="61">
        <f t="shared" ref="E10:F10" si="1">SUM(E11:E14)</f>
        <v>1719230.39</v>
      </c>
      <c r="F10" s="61">
        <f t="shared" si="1"/>
        <v>1719230.39</v>
      </c>
    </row>
    <row r="11" spans="1:6" ht="15.75" customHeight="1" x14ac:dyDescent="0.25">
      <c r="A11" s="12" t="s">
        <v>29</v>
      </c>
      <c r="B11" s="61"/>
      <c r="C11" s="10"/>
      <c r="D11" s="10"/>
      <c r="E11" s="10"/>
      <c r="F11" s="10"/>
    </row>
    <row r="12" spans="1:6" ht="25.5" x14ac:dyDescent="0.25">
      <c r="A12" s="19" t="s">
        <v>30</v>
      </c>
      <c r="B12" s="61"/>
      <c r="C12" s="10"/>
      <c r="D12" s="10"/>
      <c r="E12" s="10"/>
      <c r="F12" s="10"/>
    </row>
    <row r="13" spans="1:6" x14ac:dyDescent="0.25">
      <c r="A13" s="18" t="s">
        <v>31</v>
      </c>
      <c r="B13" s="61"/>
      <c r="C13" s="10"/>
      <c r="D13" s="10"/>
      <c r="E13" s="10"/>
      <c r="F13" s="10"/>
    </row>
    <row r="14" spans="1:6" ht="25.5" x14ac:dyDescent="0.25">
      <c r="A14" s="12" t="s">
        <v>139</v>
      </c>
      <c r="B14" s="61">
        <v>1225327.6100000001</v>
      </c>
      <c r="C14" s="63">
        <v>1346630.98</v>
      </c>
      <c r="D14" s="182">
        <v>1719230.39</v>
      </c>
      <c r="E14" s="182">
        <v>1719230.39</v>
      </c>
      <c r="F14" s="182">
        <v>1719230.39</v>
      </c>
    </row>
    <row r="15" spans="1:6" x14ac:dyDescent="0.25">
      <c r="A15" s="20"/>
      <c r="B15" s="88"/>
      <c r="C15" s="10"/>
      <c r="D15" s="10"/>
      <c r="E15" s="10"/>
      <c r="F15" s="1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F26" sqref="F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71" t="s">
        <v>58</v>
      </c>
      <c r="B1" s="271"/>
      <c r="C1" s="271"/>
      <c r="D1" s="271"/>
      <c r="E1" s="271"/>
      <c r="F1" s="271"/>
      <c r="G1" s="271"/>
      <c r="H1" s="271"/>
      <c r="I1" s="27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71" t="s">
        <v>36</v>
      </c>
      <c r="B3" s="271"/>
      <c r="C3" s="271"/>
      <c r="D3" s="271"/>
      <c r="E3" s="271"/>
      <c r="F3" s="271"/>
      <c r="G3" s="271"/>
      <c r="H3" s="288"/>
      <c r="I3" s="28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71" t="s">
        <v>32</v>
      </c>
      <c r="B5" s="272"/>
      <c r="C5" s="272"/>
      <c r="D5" s="272"/>
      <c r="E5" s="272"/>
      <c r="F5" s="272"/>
      <c r="G5" s="272"/>
      <c r="H5" s="272"/>
      <c r="I5" s="27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61</v>
      </c>
      <c r="E7" s="24" t="s">
        <v>12</v>
      </c>
      <c r="F7" s="25" t="s">
        <v>13</v>
      </c>
      <c r="G7" s="25" t="s">
        <v>50</v>
      </c>
      <c r="H7" s="25" t="s">
        <v>51</v>
      </c>
      <c r="I7" s="25" t="s">
        <v>52</v>
      </c>
    </row>
    <row r="8" spans="1:9" ht="25.5" x14ac:dyDescent="0.25">
      <c r="A8" s="12">
        <v>8</v>
      </c>
      <c r="B8" s="12"/>
      <c r="C8" s="12"/>
      <c r="D8" s="12" t="s">
        <v>33</v>
      </c>
      <c r="E8" s="9"/>
      <c r="F8" s="10"/>
      <c r="G8" s="10"/>
      <c r="H8" s="10"/>
      <c r="I8" s="10"/>
    </row>
    <row r="9" spans="1:9" x14ac:dyDescent="0.25">
      <c r="A9" s="12"/>
      <c r="B9" s="17">
        <v>84</v>
      </c>
      <c r="C9" s="17"/>
      <c r="D9" s="17" t="s">
        <v>40</v>
      </c>
      <c r="E9" s="9"/>
      <c r="F9" s="10"/>
      <c r="G9" s="10"/>
      <c r="H9" s="10"/>
      <c r="I9" s="10"/>
    </row>
    <row r="10" spans="1:9" ht="25.5" x14ac:dyDescent="0.25">
      <c r="A10" s="13"/>
      <c r="B10" s="13"/>
      <c r="C10" s="14">
        <v>81</v>
      </c>
      <c r="D10" s="19" t="s">
        <v>41</v>
      </c>
      <c r="E10" s="9"/>
      <c r="F10" s="10"/>
      <c r="G10" s="10"/>
      <c r="H10" s="10"/>
      <c r="I10" s="10"/>
    </row>
    <row r="11" spans="1:9" ht="25.5" x14ac:dyDescent="0.25">
      <c r="A11" s="15">
        <v>5</v>
      </c>
      <c r="B11" s="16"/>
      <c r="C11" s="16"/>
      <c r="D11" s="30" t="s">
        <v>34</v>
      </c>
      <c r="E11" s="9"/>
      <c r="F11" s="10"/>
      <c r="G11" s="10"/>
      <c r="H11" s="10"/>
      <c r="I11" s="10"/>
    </row>
    <row r="12" spans="1:9" ht="25.5" x14ac:dyDescent="0.25">
      <c r="A12" s="17"/>
      <c r="B12" s="17">
        <v>54</v>
      </c>
      <c r="C12" s="17"/>
      <c r="D12" s="31" t="s">
        <v>42</v>
      </c>
      <c r="E12" s="9"/>
      <c r="F12" s="10"/>
      <c r="G12" s="10"/>
      <c r="H12" s="10"/>
      <c r="I12" s="11"/>
    </row>
    <row r="13" spans="1:9" x14ac:dyDescent="0.25">
      <c r="A13" s="17"/>
      <c r="B13" s="17"/>
      <c r="C13" s="14">
        <v>11</v>
      </c>
      <c r="D13" s="14" t="s">
        <v>20</v>
      </c>
      <c r="E13" s="9"/>
      <c r="F13" s="10"/>
      <c r="G13" s="10"/>
      <c r="H13" s="10"/>
      <c r="I13" s="11"/>
    </row>
    <row r="14" spans="1:9" x14ac:dyDescent="0.25">
      <c r="A14" s="17"/>
      <c r="B14" s="17"/>
      <c r="C14" s="14">
        <v>31</v>
      </c>
      <c r="D14" s="14" t="s">
        <v>43</v>
      </c>
      <c r="E14" s="9"/>
      <c r="F14" s="10"/>
      <c r="G14" s="10"/>
      <c r="H14" s="10"/>
      <c r="I14" s="11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1"/>
  <sheetViews>
    <sheetView zoomScale="102" zoomScaleNormal="102" workbookViewId="0">
      <selection activeCell="A2" sqref="A2"/>
    </sheetView>
  </sheetViews>
  <sheetFormatPr defaultRowHeight="15" x14ac:dyDescent="0.25"/>
  <cols>
    <col min="1" max="1" width="10.5703125" customWidth="1"/>
    <col min="2" max="2" width="21.85546875" customWidth="1"/>
    <col min="3" max="3" width="6.7109375" customWidth="1"/>
    <col min="4" max="4" width="34.28515625" customWidth="1"/>
    <col min="5" max="5" width="21.28515625" style="55" customWidth="1"/>
    <col min="6" max="6" width="18.28515625" style="55" customWidth="1"/>
    <col min="7" max="7" width="19.28515625" customWidth="1"/>
    <col min="8" max="8" width="18.42578125" customWidth="1"/>
    <col min="9" max="9" width="17.7109375" customWidth="1"/>
  </cols>
  <sheetData>
    <row r="1" spans="1:9" ht="42" customHeight="1" x14ac:dyDescent="0.25">
      <c r="A1" s="271" t="s">
        <v>204</v>
      </c>
      <c r="B1" s="271"/>
      <c r="C1" s="271"/>
      <c r="D1" s="271"/>
      <c r="E1" s="271"/>
      <c r="F1" s="271"/>
      <c r="G1" s="271"/>
      <c r="H1" s="271"/>
      <c r="I1" s="271"/>
    </row>
    <row r="2" spans="1:9" ht="18" x14ac:dyDescent="0.25">
      <c r="A2" s="29"/>
      <c r="B2" s="29"/>
      <c r="C2" s="29"/>
      <c r="D2" s="29"/>
      <c r="E2" s="29"/>
      <c r="F2" s="29"/>
      <c r="G2" s="29"/>
      <c r="H2" s="5"/>
      <c r="I2" s="5"/>
    </row>
    <row r="3" spans="1:9" ht="18" customHeight="1" x14ac:dyDescent="0.25">
      <c r="A3" s="271" t="s">
        <v>35</v>
      </c>
      <c r="B3" s="272"/>
      <c r="C3" s="272"/>
      <c r="D3" s="272"/>
      <c r="E3" s="272"/>
      <c r="F3" s="272"/>
      <c r="G3" s="272"/>
      <c r="H3" s="272"/>
      <c r="I3" s="272"/>
    </row>
    <row r="4" spans="1:9" ht="18" x14ac:dyDescent="0.25">
      <c r="A4" s="29"/>
      <c r="B4" s="29"/>
      <c r="C4" s="29"/>
      <c r="D4" s="29"/>
      <c r="E4" s="29"/>
      <c r="F4" s="29"/>
      <c r="G4" s="29"/>
      <c r="H4" s="5"/>
      <c r="I4" s="5"/>
    </row>
    <row r="5" spans="1:9" ht="46.9" customHeight="1" thickBot="1" x14ac:dyDescent="0.3">
      <c r="A5" s="307" t="s">
        <v>37</v>
      </c>
      <c r="B5" s="308"/>
      <c r="C5" s="309"/>
      <c r="D5" s="24" t="s">
        <v>38</v>
      </c>
      <c r="E5" s="24" t="s">
        <v>12</v>
      </c>
      <c r="F5" s="25" t="s">
        <v>13</v>
      </c>
      <c r="G5" s="25" t="s">
        <v>50</v>
      </c>
      <c r="H5" s="25" t="s">
        <v>51</v>
      </c>
      <c r="I5" s="25" t="s">
        <v>52</v>
      </c>
    </row>
    <row r="6" spans="1:9" ht="15.75" thickBot="1" x14ac:dyDescent="0.3">
      <c r="A6" s="77"/>
      <c r="B6" s="78"/>
      <c r="C6" s="89"/>
      <c r="D6" s="90" t="s">
        <v>22</v>
      </c>
      <c r="E6" s="152">
        <f>SUM(E8:E16)</f>
        <v>1225327.6138151172</v>
      </c>
      <c r="F6" s="152">
        <f>SUM(F8:F16)</f>
        <v>1346630.974181432</v>
      </c>
      <c r="G6" s="152">
        <f>SUM(G7:G16)</f>
        <v>1719230.3878731173</v>
      </c>
      <c r="H6" s="152">
        <f>SUM(H7:H16)</f>
        <v>1719230.3878731173</v>
      </c>
      <c r="I6" s="152">
        <f>SUM(I7:I16)</f>
        <v>1719230.3878731173</v>
      </c>
    </row>
    <row r="7" spans="1:9" x14ac:dyDescent="0.25">
      <c r="A7" s="77"/>
      <c r="B7" s="78"/>
      <c r="C7" s="89">
        <v>11</v>
      </c>
      <c r="D7" s="89" t="s">
        <v>151</v>
      </c>
      <c r="E7" s="199"/>
      <c r="F7" s="199"/>
      <c r="G7" s="199">
        <f>G181+G199+G132</f>
        <v>12554.09</v>
      </c>
      <c r="H7" s="199">
        <f t="shared" ref="H7:I7" si="0">H181+H199+H132</f>
        <v>12554.09</v>
      </c>
      <c r="I7" s="199">
        <f t="shared" si="0"/>
        <v>12554.09</v>
      </c>
    </row>
    <row r="8" spans="1:9" x14ac:dyDescent="0.25">
      <c r="A8" s="77"/>
      <c r="B8" s="78"/>
      <c r="C8" s="89">
        <v>12</v>
      </c>
      <c r="D8" s="89" t="s">
        <v>151</v>
      </c>
      <c r="E8" s="153">
        <f>E19+E55</f>
        <v>167366.21624394451</v>
      </c>
      <c r="F8" s="153">
        <v>158221.13</v>
      </c>
      <c r="G8" s="153">
        <f t="shared" ref="G8:I8" si="1">G19+G55</f>
        <v>181194.12</v>
      </c>
      <c r="H8" s="153">
        <f>H19+H55</f>
        <v>181194.12</v>
      </c>
      <c r="I8" s="153">
        <f t="shared" si="1"/>
        <v>181194.12</v>
      </c>
    </row>
    <row r="9" spans="1:9" x14ac:dyDescent="0.25">
      <c r="A9" s="77"/>
      <c r="B9" s="78"/>
      <c r="C9" s="89">
        <v>13</v>
      </c>
      <c r="D9" s="89" t="s">
        <v>150</v>
      </c>
      <c r="E9" s="154">
        <f>E164+E172</f>
        <v>11982.094365916782</v>
      </c>
      <c r="F9" s="154">
        <v>3807.82</v>
      </c>
      <c r="G9" s="154">
        <f>G164+G172</f>
        <v>0</v>
      </c>
      <c r="H9" s="154">
        <f t="shared" ref="H9:I9" si="2">H164+H172</f>
        <v>0</v>
      </c>
      <c r="I9" s="154">
        <f t="shared" si="2"/>
        <v>0</v>
      </c>
    </row>
    <row r="10" spans="1:9" ht="25.5" x14ac:dyDescent="0.25">
      <c r="A10" s="77"/>
      <c r="B10" s="78"/>
      <c r="C10" s="89">
        <v>17</v>
      </c>
      <c r="D10" s="89" t="s">
        <v>190</v>
      </c>
      <c r="E10" s="154"/>
      <c r="F10" s="154"/>
      <c r="G10" s="154">
        <f>G70</f>
        <v>3128</v>
      </c>
      <c r="H10" s="154">
        <f t="shared" ref="H10:I10" si="3">H70</f>
        <v>3128</v>
      </c>
      <c r="I10" s="154">
        <f t="shared" si="3"/>
        <v>3128</v>
      </c>
    </row>
    <row r="11" spans="1:9" x14ac:dyDescent="0.25">
      <c r="A11" s="77"/>
      <c r="B11" s="78"/>
      <c r="C11" s="89">
        <v>31</v>
      </c>
      <c r="D11" s="89" t="s">
        <v>152</v>
      </c>
      <c r="E11" s="154">
        <f>E98+E101++E104+E107+E109+E110+E114+E117+E105</f>
        <v>738.80549472426821</v>
      </c>
      <c r="F11" s="154">
        <v>4127.66</v>
      </c>
      <c r="G11" s="154">
        <f>4127.67+G126</f>
        <v>5627.67</v>
      </c>
      <c r="H11" s="154">
        <f t="shared" ref="H11:I11" si="4">4127.67+H126</f>
        <v>5627.67</v>
      </c>
      <c r="I11" s="154">
        <f t="shared" si="4"/>
        <v>5627.67</v>
      </c>
    </row>
    <row r="12" spans="1:9" x14ac:dyDescent="0.25">
      <c r="A12" s="77"/>
      <c r="B12" s="78"/>
      <c r="C12" s="89">
        <v>412</v>
      </c>
      <c r="D12" s="89" t="s">
        <v>153</v>
      </c>
      <c r="E12" s="154">
        <f>E102+E103</f>
        <v>21728.944190059061</v>
      </c>
      <c r="F12" s="154">
        <f t="shared" ref="F12:I12" si="5">F102+F103</f>
        <v>33492.600703430886</v>
      </c>
      <c r="G12" s="154">
        <f t="shared" si="5"/>
        <v>33492.600703430886</v>
      </c>
      <c r="H12" s="154">
        <f t="shared" si="5"/>
        <v>33492.600703430886</v>
      </c>
      <c r="I12" s="154">
        <f t="shared" si="5"/>
        <v>33492.600703430886</v>
      </c>
    </row>
    <row r="13" spans="1:9" x14ac:dyDescent="0.25">
      <c r="A13" s="77"/>
      <c r="B13" s="78"/>
      <c r="C13" s="89">
        <v>501</v>
      </c>
      <c r="D13" s="89" t="s">
        <v>154</v>
      </c>
      <c r="E13" s="154">
        <f>E72</f>
        <v>1007033.2828986662</v>
      </c>
      <c r="F13" s="154">
        <v>1096887.6599999999</v>
      </c>
      <c r="G13" s="154">
        <f>G72</f>
        <v>1392558.2593251048</v>
      </c>
      <c r="H13" s="154">
        <f t="shared" ref="H13:I13" si="6">H72</f>
        <v>1392558.2593251048</v>
      </c>
      <c r="I13" s="154">
        <f t="shared" si="6"/>
        <v>1392558.2593251048</v>
      </c>
    </row>
    <row r="14" spans="1:9" x14ac:dyDescent="0.25">
      <c r="A14" s="77"/>
      <c r="B14" s="78"/>
      <c r="C14" s="89">
        <v>54</v>
      </c>
      <c r="D14" s="89" t="s">
        <v>155</v>
      </c>
      <c r="E14" s="154">
        <f>E145+E154</f>
        <v>16222.861503749418</v>
      </c>
      <c r="F14" s="154">
        <v>49683.99</v>
      </c>
      <c r="G14" s="154">
        <f>G141+G186+G202</f>
        <v>90265.534366580396</v>
      </c>
      <c r="H14" s="154">
        <f t="shared" ref="H14:I14" si="7">H141+H186+H202</f>
        <v>90265.534366580396</v>
      </c>
      <c r="I14" s="154">
        <f t="shared" si="7"/>
        <v>90265.534366580396</v>
      </c>
    </row>
    <row r="15" spans="1:9" x14ac:dyDescent="0.25">
      <c r="A15" s="77"/>
      <c r="B15" s="78"/>
      <c r="C15" s="89">
        <v>61</v>
      </c>
      <c r="D15" s="89" t="s">
        <v>156</v>
      </c>
      <c r="E15" s="154">
        <f>E112</f>
        <v>255.4091180569381</v>
      </c>
      <c r="F15" s="154">
        <f t="shared" ref="F15:I15" si="8">F112</f>
        <v>410.11347800119449</v>
      </c>
      <c r="G15" s="154">
        <f t="shared" si="8"/>
        <v>410.11347800119449</v>
      </c>
      <c r="H15" s="154">
        <f t="shared" si="8"/>
        <v>410.11347800119449</v>
      </c>
      <c r="I15" s="154">
        <f t="shared" si="8"/>
        <v>410.11347800119449</v>
      </c>
    </row>
    <row r="16" spans="1:9" x14ac:dyDescent="0.25">
      <c r="A16" s="79"/>
      <c r="B16" s="79"/>
      <c r="C16" s="79"/>
      <c r="D16" s="80"/>
      <c r="E16" s="130"/>
      <c r="F16" s="129"/>
      <c r="G16" s="113"/>
      <c r="H16" s="113"/>
      <c r="I16" s="113"/>
    </row>
    <row r="17" spans="1:9" ht="25.5" x14ac:dyDescent="0.25">
      <c r="A17" s="115" t="s">
        <v>178</v>
      </c>
      <c r="B17" s="119"/>
      <c r="C17" s="117"/>
      <c r="D17" s="78" t="s">
        <v>171</v>
      </c>
      <c r="E17" s="118">
        <v>1225327.6100000001</v>
      </c>
      <c r="F17" s="118">
        <f>F18+F93+F136</f>
        <v>1346630.8841582052</v>
      </c>
      <c r="G17" s="118">
        <f>G18+G93+G136</f>
        <v>1697929.0584053358</v>
      </c>
      <c r="H17" s="118">
        <f>H18+H93+H136</f>
        <v>1658601.2440387553</v>
      </c>
      <c r="I17" s="118">
        <f>I18+I93+I136</f>
        <v>1658601.2440387553</v>
      </c>
    </row>
    <row r="18" spans="1:9" ht="38.25" x14ac:dyDescent="0.25">
      <c r="A18" s="12" t="s">
        <v>179</v>
      </c>
      <c r="B18" s="70" t="s">
        <v>168</v>
      </c>
      <c r="C18" s="17"/>
      <c r="D18" s="17"/>
      <c r="E18" s="62">
        <f t="shared" ref="E18:F18" si="9">E19+E74+E55</f>
        <v>1151311.8516543901</v>
      </c>
      <c r="F18" s="62">
        <f t="shared" si="9"/>
        <v>1227900.5144176784</v>
      </c>
      <c r="G18" s="62">
        <f>G19+G74+G55</f>
        <v>1539698.3339491673</v>
      </c>
      <c r="H18" s="62">
        <f>H19+H74+H55</f>
        <v>1539698.3339491673</v>
      </c>
      <c r="I18" s="62">
        <f t="shared" ref="I18" si="10">I19+I74+I55</f>
        <v>1539698.3339491673</v>
      </c>
    </row>
    <row r="19" spans="1:9" ht="38.25" x14ac:dyDescent="0.25">
      <c r="A19" s="12" t="s">
        <v>169</v>
      </c>
      <c r="B19" s="70" t="s">
        <v>170</v>
      </c>
      <c r="C19" s="17"/>
      <c r="D19" s="17"/>
      <c r="E19" s="132">
        <f>E20</f>
        <v>112563.97</v>
      </c>
      <c r="F19" s="132">
        <f t="shared" ref="F19:I19" si="11">F20</f>
        <v>151584.9</v>
      </c>
      <c r="G19" s="62">
        <f t="shared" si="11"/>
        <v>181194.12</v>
      </c>
      <c r="H19" s="62">
        <f t="shared" si="11"/>
        <v>181194.12</v>
      </c>
      <c r="I19" s="62">
        <f t="shared" si="11"/>
        <v>181194.12</v>
      </c>
    </row>
    <row r="20" spans="1:9" x14ac:dyDescent="0.25">
      <c r="A20" s="13"/>
      <c r="B20" s="13"/>
      <c r="C20" s="46">
        <v>12</v>
      </c>
      <c r="D20" s="46" t="s">
        <v>20</v>
      </c>
      <c r="E20" s="132">
        <f>E21+E45+E50</f>
        <v>112563.97</v>
      </c>
      <c r="F20" s="132">
        <f>F21+F45+F50</f>
        <v>151584.9</v>
      </c>
      <c r="G20" s="62">
        <f>G21+G45+G50</f>
        <v>181194.12</v>
      </c>
      <c r="H20" s="62">
        <f>H21+H45+H50</f>
        <v>181194.12</v>
      </c>
      <c r="I20" s="62">
        <f>I21+I45+I50</f>
        <v>181194.12</v>
      </c>
    </row>
    <row r="21" spans="1:9" x14ac:dyDescent="0.25">
      <c r="A21" s="13"/>
      <c r="B21" s="13">
        <v>32</v>
      </c>
      <c r="C21" s="14"/>
      <c r="D21" s="13" t="s">
        <v>39</v>
      </c>
      <c r="E21" s="131">
        <f>E23+E26+E32+E41</f>
        <v>53710.39</v>
      </c>
      <c r="F21" s="131">
        <f>F23+F26+F32+F41</f>
        <v>73498.759999999995</v>
      </c>
      <c r="G21" s="262">
        <f>G23+G26+G32+G41</f>
        <v>104397.43</v>
      </c>
      <c r="H21" s="262">
        <f>H23+H26+H32+H41</f>
        <v>104397.43</v>
      </c>
      <c r="I21" s="61">
        <f>I23+I26+I32+I41</f>
        <v>104397.43</v>
      </c>
    </row>
    <row r="22" spans="1:9" x14ac:dyDescent="0.25">
      <c r="A22" s="13"/>
      <c r="B22" s="13"/>
      <c r="C22" s="14"/>
      <c r="D22" s="14"/>
      <c r="E22" s="131"/>
      <c r="F22" s="127"/>
      <c r="G22" s="182"/>
      <c r="H22" s="182"/>
      <c r="I22" s="63"/>
    </row>
    <row r="23" spans="1:9" x14ac:dyDescent="0.25">
      <c r="A23" s="13"/>
      <c r="B23" s="32">
        <v>321</v>
      </c>
      <c r="C23" s="46">
        <v>12</v>
      </c>
      <c r="D23" s="46" t="s">
        <v>62</v>
      </c>
      <c r="E23" s="132">
        <f>SUM(E24:E25)</f>
        <v>924.55</v>
      </c>
      <c r="F23" s="132">
        <f t="shared" ref="F23" si="12">SUM(F24:F25)</f>
        <v>1167.96</v>
      </c>
      <c r="G23" s="263">
        <f>SUM(G24:G25)</f>
        <v>5500</v>
      </c>
      <c r="H23" s="263">
        <f t="shared" ref="H23:I23" si="13">SUM(H24:H25)</f>
        <v>5500</v>
      </c>
      <c r="I23" s="62">
        <f t="shared" si="13"/>
        <v>5500</v>
      </c>
    </row>
    <row r="24" spans="1:9" x14ac:dyDescent="0.25">
      <c r="A24" s="13"/>
      <c r="B24" s="13">
        <v>3211</v>
      </c>
      <c r="C24" s="14">
        <v>12</v>
      </c>
      <c r="D24" s="14" t="s">
        <v>63</v>
      </c>
      <c r="E24" s="55">
        <v>924.55</v>
      </c>
      <c r="F24" s="127">
        <v>1167.96</v>
      </c>
      <c r="G24" s="262">
        <v>5500</v>
      </c>
      <c r="H24" s="262">
        <v>5500</v>
      </c>
      <c r="I24" s="61">
        <v>5500</v>
      </c>
    </row>
    <row r="25" spans="1:9" x14ac:dyDescent="0.25">
      <c r="A25" s="13"/>
      <c r="B25" s="13">
        <v>3212</v>
      </c>
      <c r="C25" s="14">
        <v>12</v>
      </c>
      <c r="D25" s="14" t="s">
        <v>64</v>
      </c>
      <c r="E25" s="131"/>
      <c r="F25" s="127"/>
      <c r="G25" s="182"/>
      <c r="H25" s="182"/>
      <c r="I25" s="63"/>
    </row>
    <row r="26" spans="1:9" x14ac:dyDescent="0.25">
      <c r="A26" s="13"/>
      <c r="B26" s="32">
        <v>322</v>
      </c>
      <c r="C26" s="46">
        <v>12</v>
      </c>
      <c r="D26" s="46" t="s">
        <v>65</v>
      </c>
      <c r="E26" s="132">
        <f>SUM(E27:E31)</f>
        <v>30766.69</v>
      </c>
      <c r="F26" s="132">
        <f>SUM(F27:F31)</f>
        <v>50076.32</v>
      </c>
      <c r="G26" s="263">
        <f>SUM(G27:G31)</f>
        <v>78874.17</v>
      </c>
      <c r="H26" s="263">
        <f t="shared" ref="H26:I26" si="14">SUM(H27:H31)</f>
        <v>78874.17</v>
      </c>
      <c r="I26" s="62">
        <f t="shared" si="14"/>
        <v>78874.17</v>
      </c>
    </row>
    <row r="27" spans="1:9" x14ac:dyDescent="0.25">
      <c r="A27" s="13"/>
      <c r="B27" s="13">
        <v>3221</v>
      </c>
      <c r="C27" s="14">
        <v>12</v>
      </c>
      <c r="D27" s="14" t="s">
        <v>66</v>
      </c>
      <c r="E27" s="131">
        <v>7977.78</v>
      </c>
      <c r="F27" s="127">
        <v>6636.14</v>
      </c>
      <c r="G27" s="182">
        <v>7000</v>
      </c>
      <c r="H27" s="182">
        <v>7000</v>
      </c>
      <c r="I27" s="63">
        <v>7000</v>
      </c>
    </row>
    <row r="28" spans="1:9" x14ac:dyDescent="0.25">
      <c r="A28" s="13"/>
      <c r="B28" s="13">
        <v>3222</v>
      </c>
      <c r="C28" s="14">
        <v>12</v>
      </c>
      <c r="D28" s="14" t="s">
        <v>67</v>
      </c>
      <c r="E28" s="131">
        <v>211.25</v>
      </c>
      <c r="F28" s="127">
        <v>66.36</v>
      </c>
      <c r="G28" s="182">
        <v>13.2</v>
      </c>
      <c r="H28" s="182">
        <v>13.2</v>
      </c>
      <c r="I28" s="63">
        <v>13.2</v>
      </c>
    </row>
    <row r="29" spans="1:9" x14ac:dyDescent="0.25">
      <c r="A29" s="13"/>
      <c r="B29" s="13">
        <v>3223</v>
      </c>
      <c r="C29" s="14">
        <v>12</v>
      </c>
      <c r="D29" s="14" t="s">
        <v>68</v>
      </c>
      <c r="E29" s="131">
        <v>19530.099999999999</v>
      </c>
      <c r="F29" s="127">
        <v>40321.19</v>
      </c>
      <c r="G29" s="182">
        <v>64962.8</v>
      </c>
      <c r="H29" s="182">
        <v>64962.8</v>
      </c>
      <c r="I29" s="182">
        <v>64962.8</v>
      </c>
    </row>
    <row r="30" spans="1:9" x14ac:dyDescent="0.25">
      <c r="A30" s="13"/>
      <c r="B30" s="13">
        <v>3224</v>
      </c>
      <c r="C30" s="14">
        <v>12</v>
      </c>
      <c r="D30" s="14" t="s">
        <v>69</v>
      </c>
      <c r="E30" s="131">
        <v>2738.26</v>
      </c>
      <c r="F30" s="127">
        <v>2654.46</v>
      </c>
      <c r="G30" s="182">
        <v>6500</v>
      </c>
      <c r="H30" s="182">
        <v>6500</v>
      </c>
      <c r="I30" s="63">
        <v>6500</v>
      </c>
    </row>
    <row r="31" spans="1:9" x14ac:dyDescent="0.25">
      <c r="A31" s="13"/>
      <c r="B31" s="13">
        <v>3225</v>
      </c>
      <c r="C31" s="14">
        <v>12</v>
      </c>
      <c r="D31" s="14" t="s">
        <v>70</v>
      </c>
      <c r="E31" s="131">
        <v>309.3</v>
      </c>
      <c r="F31" s="127">
        <v>398.17</v>
      </c>
      <c r="G31" s="182">
        <v>398.17</v>
      </c>
      <c r="H31" s="182">
        <v>398.17</v>
      </c>
      <c r="I31" s="63">
        <v>398.17</v>
      </c>
    </row>
    <row r="32" spans="1:9" x14ac:dyDescent="0.25">
      <c r="A32" s="32"/>
      <c r="B32" s="32">
        <v>323</v>
      </c>
      <c r="C32" s="46">
        <v>12</v>
      </c>
      <c r="D32" s="46" t="s">
        <v>71</v>
      </c>
      <c r="E32" s="132">
        <f>SUM(E33:E39)</f>
        <v>20882.59</v>
      </c>
      <c r="F32" s="132">
        <f>SUM(F33:F40)</f>
        <v>20860.89</v>
      </c>
      <c r="G32" s="263">
        <f>SUM(G33:G40)</f>
        <v>19054.379999999997</v>
      </c>
      <c r="H32" s="263">
        <f t="shared" ref="H32:I32" si="15">SUM(H33:H40)</f>
        <v>19054.379999999997</v>
      </c>
      <c r="I32" s="62">
        <f t="shared" si="15"/>
        <v>19054.379999999997</v>
      </c>
    </row>
    <row r="33" spans="1:9" x14ac:dyDescent="0.25">
      <c r="A33" s="13"/>
      <c r="B33" s="13">
        <v>3231</v>
      </c>
      <c r="C33" s="14">
        <v>12</v>
      </c>
      <c r="D33" s="14" t="s">
        <v>72</v>
      </c>
      <c r="E33" s="131">
        <v>3614.09</v>
      </c>
      <c r="F33" s="127">
        <v>4207.32</v>
      </c>
      <c r="G33" s="182">
        <v>3981.68</v>
      </c>
      <c r="H33" s="182">
        <v>3981.68</v>
      </c>
      <c r="I33" s="63">
        <v>3981.68</v>
      </c>
    </row>
    <row r="34" spans="1:9" x14ac:dyDescent="0.25">
      <c r="A34" s="13"/>
      <c r="B34" s="13">
        <v>3232</v>
      </c>
      <c r="C34" s="14">
        <v>12</v>
      </c>
      <c r="D34" s="14" t="s">
        <v>73</v>
      </c>
      <c r="E34" s="131">
        <v>8542.7999999999993</v>
      </c>
      <c r="F34" s="127">
        <v>3536.17</v>
      </c>
      <c r="G34" s="182">
        <v>3318.07</v>
      </c>
      <c r="H34" s="182">
        <v>3318.07</v>
      </c>
      <c r="I34" s="63">
        <v>3318.07</v>
      </c>
    </row>
    <row r="35" spans="1:9" x14ac:dyDescent="0.25">
      <c r="A35" s="13"/>
      <c r="B35" s="13">
        <v>3233</v>
      </c>
      <c r="C35" s="14">
        <v>12</v>
      </c>
      <c r="D35" s="14" t="s">
        <v>74</v>
      </c>
      <c r="E35" s="131">
        <v>254.83</v>
      </c>
      <c r="F35" s="127">
        <v>254.83</v>
      </c>
      <c r="G35" s="182">
        <v>258.05</v>
      </c>
      <c r="H35" s="182">
        <v>258.05</v>
      </c>
      <c r="I35" s="63">
        <v>258.05</v>
      </c>
    </row>
    <row r="36" spans="1:9" x14ac:dyDescent="0.25">
      <c r="A36" s="13"/>
      <c r="B36" s="13">
        <v>3234</v>
      </c>
      <c r="C36" s="14">
        <v>12</v>
      </c>
      <c r="D36" s="14" t="s">
        <v>75</v>
      </c>
      <c r="E36" s="131">
        <v>5178.6899999999996</v>
      </c>
      <c r="F36" s="127">
        <v>5308.92</v>
      </c>
      <c r="G36" s="182">
        <v>4645.3</v>
      </c>
      <c r="H36" s="182">
        <v>4645.3</v>
      </c>
      <c r="I36" s="63">
        <v>4645.3</v>
      </c>
    </row>
    <row r="37" spans="1:9" x14ac:dyDescent="0.25">
      <c r="A37" s="13"/>
      <c r="B37" s="13">
        <v>3236</v>
      </c>
      <c r="C37" s="14">
        <v>12</v>
      </c>
      <c r="D37" s="14" t="s">
        <v>76</v>
      </c>
      <c r="E37" s="131">
        <v>764.82</v>
      </c>
      <c r="F37" s="127">
        <v>3474.68</v>
      </c>
      <c r="G37" s="182">
        <v>4000</v>
      </c>
      <c r="H37" s="182">
        <v>4000</v>
      </c>
      <c r="I37" s="63">
        <v>4000</v>
      </c>
    </row>
    <row r="38" spans="1:9" x14ac:dyDescent="0.25">
      <c r="A38" s="13"/>
      <c r="B38" s="13">
        <v>3237</v>
      </c>
      <c r="C38" s="14">
        <v>12</v>
      </c>
      <c r="D38" s="14" t="s">
        <v>81</v>
      </c>
      <c r="E38" s="131">
        <v>132.80000000000001</v>
      </c>
      <c r="F38" s="127">
        <v>1061.79</v>
      </c>
      <c r="G38" s="182"/>
      <c r="H38" s="182"/>
      <c r="I38" s="63"/>
    </row>
    <row r="39" spans="1:9" x14ac:dyDescent="0.25">
      <c r="A39" s="13"/>
      <c r="B39" s="13">
        <v>3238</v>
      </c>
      <c r="C39" s="14">
        <v>12</v>
      </c>
      <c r="D39" s="14" t="s">
        <v>77</v>
      </c>
      <c r="E39" s="131">
        <v>2394.56</v>
      </c>
      <c r="F39" s="127">
        <v>2953.08</v>
      </c>
      <c r="G39" s="63">
        <v>2787.18</v>
      </c>
      <c r="H39" s="63">
        <v>2787.18</v>
      </c>
      <c r="I39" s="63">
        <v>2787.18</v>
      </c>
    </row>
    <row r="40" spans="1:9" x14ac:dyDescent="0.25">
      <c r="A40" s="13"/>
      <c r="B40" s="13">
        <v>3239</v>
      </c>
      <c r="C40" s="14">
        <v>12</v>
      </c>
      <c r="D40" s="14" t="s">
        <v>78</v>
      </c>
      <c r="E40" s="131"/>
      <c r="F40" s="127">
        <v>64.099999999999994</v>
      </c>
      <c r="G40" s="63">
        <v>64.099999999999994</v>
      </c>
      <c r="H40" s="63">
        <v>64.099999999999994</v>
      </c>
      <c r="I40" s="63">
        <v>64.099999999999994</v>
      </c>
    </row>
    <row r="41" spans="1:9" x14ac:dyDescent="0.25">
      <c r="A41" s="32"/>
      <c r="B41" s="32">
        <v>329</v>
      </c>
      <c r="C41" s="46">
        <v>12</v>
      </c>
      <c r="D41" s="46" t="s">
        <v>79</v>
      </c>
      <c r="E41" s="132">
        <f t="shared" ref="E41:F41" si="16">SUM(E42:E43)</f>
        <v>1136.56</v>
      </c>
      <c r="F41" s="132">
        <f t="shared" si="16"/>
        <v>1393.59</v>
      </c>
      <c r="G41" s="62">
        <f>SUM(G42:G43)</f>
        <v>968.88</v>
      </c>
      <c r="H41" s="62">
        <f t="shared" ref="H41:I41" si="17">SUM(H42:H43)</f>
        <v>968.88</v>
      </c>
      <c r="I41" s="62">
        <f t="shared" si="17"/>
        <v>968.88</v>
      </c>
    </row>
    <row r="42" spans="1:9" x14ac:dyDescent="0.25">
      <c r="A42" s="13"/>
      <c r="B42" s="13">
        <v>3292</v>
      </c>
      <c r="C42" s="14">
        <v>12</v>
      </c>
      <c r="D42" s="14" t="s">
        <v>80</v>
      </c>
      <c r="E42" s="131">
        <v>1103.79</v>
      </c>
      <c r="F42" s="127">
        <v>1327.23</v>
      </c>
      <c r="G42" s="63">
        <v>902.52</v>
      </c>
      <c r="H42" s="63">
        <v>902.52</v>
      </c>
      <c r="I42" s="63">
        <v>902.52</v>
      </c>
    </row>
    <row r="43" spans="1:9" x14ac:dyDescent="0.25">
      <c r="A43" s="13"/>
      <c r="B43" s="13">
        <v>3299</v>
      </c>
      <c r="C43" s="14">
        <v>12</v>
      </c>
      <c r="D43" s="14" t="s">
        <v>79</v>
      </c>
      <c r="E43" s="131">
        <v>32.770000000000003</v>
      </c>
      <c r="F43" s="127">
        <v>66.36</v>
      </c>
      <c r="G43" s="63">
        <v>66.36</v>
      </c>
      <c r="H43" s="63">
        <v>66.36</v>
      </c>
      <c r="I43" s="63">
        <v>66.36</v>
      </c>
    </row>
    <row r="44" spans="1:9" x14ac:dyDescent="0.25">
      <c r="A44" s="13"/>
      <c r="B44" s="13"/>
      <c r="C44" s="14">
        <v>12</v>
      </c>
      <c r="D44" s="14"/>
      <c r="E44" s="131"/>
      <c r="F44" s="127"/>
      <c r="G44" s="63"/>
      <c r="H44" s="63"/>
      <c r="I44" s="63"/>
    </row>
    <row r="45" spans="1:9" x14ac:dyDescent="0.25">
      <c r="A45" s="13"/>
      <c r="B45" s="32">
        <v>34</v>
      </c>
      <c r="C45" s="14">
        <v>12</v>
      </c>
      <c r="D45" s="14" t="s">
        <v>130</v>
      </c>
      <c r="E45" s="132">
        <v>828.58</v>
      </c>
      <c r="F45" s="126">
        <v>1274.1400000000001</v>
      </c>
      <c r="G45" s="64">
        <v>800</v>
      </c>
      <c r="H45" s="64">
        <v>800</v>
      </c>
      <c r="I45" s="64">
        <v>800</v>
      </c>
    </row>
    <row r="46" spans="1:9" x14ac:dyDescent="0.25">
      <c r="A46" s="32"/>
      <c r="B46" s="32">
        <v>343</v>
      </c>
      <c r="C46" s="14">
        <v>12</v>
      </c>
      <c r="D46" s="46" t="s">
        <v>131</v>
      </c>
      <c r="E46" s="132">
        <f>SUM(E47:E48)</f>
        <v>828.58</v>
      </c>
      <c r="F46" s="132">
        <f t="shared" ref="F46:G46" si="18">SUM(F47:F48)</f>
        <v>1274.1400000000001</v>
      </c>
      <c r="G46" s="62">
        <f t="shared" si="18"/>
        <v>800</v>
      </c>
      <c r="H46" s="62">
        <f t="shared" ref="H46:I46" si="19">SUM(H47:H48)</f>
        <v>800</v>
      </c>
      <c r="I46" s="62">
        <f t="shared" si="19"/>
        <v>800</v>
      </c>
    </row>
    <row r="47" spans="1:9" x14ac:dyDescent="0.25">
      <c r="A47" s="13"/>
      <c r="B47" s="13">
        <v>3431</v>
      </c>
      <c r="C47" s="14">
        <v>12</v>
      </c>
      <c r="D47" s="14" t="s">
        <v>132</v>
      </c>
      <c r="E47" s="131">
        <v>828.58</v>
      </c>
      <c r="F47" s="127">
        <v>1274.1400000000001</v>
      </c>
      <c r="G47" s="63">
        <v>800</v>
      </c>
      <c r="H47" s="63">
        <v>800</v>
      </c>
      <c r="I47" s="63">
        <v>800</v>
      </c>
    </row>
    <row r="48" spans="1:9" x14ac:dyDescent="0.25">
      <c r="A48" s="13"/>
      <c r="B48" s="13">
        <v>3433</v>
      </c>
      <c r="C48" s="14">
        <v>12</v>
      </c>
      <c r="D48" s="14"/>
      <c r="E48" s="131"/>
      <c r="F48" s="127"/>
      <c r="G48" s="63"/>
      <c r="H48" s="63"/>
      <c r="I48" s="63"/>
    </row>
    <row r="49" spans="1:9" x14ac:dyDescent="0.25">
      <c r="A49" s="13"/>
      <c r="B49" s="13"/>
      <c r="C49" s="14">
        <v>12</v>
      </c>
      <c r="D49" s="14"/>
      <c r="E49" s="131"/>
      <c r="F49" s="127"/>
      <c r="G49" s="63"/>
      <c r="H49" s="63"/>
      <c r="I49" s="63"/>
    </row>
    <row r="50" spans="1:9" ht="38.25" x14ac:dyDescent="0.25">
      <c r="A50" s="13"/>
      <c r="B50" s="32">
        <v>37</v>
      </c>
      <c r="C50" s="14">
        <v>12</v>
      </c>
      <c r="D50" s="70" t="s">
        <v>123</v>
      </c>
      <c r="E50" s="132">
        <v>58025</v>
      </c>
      <c r="F50" s="126">
        <v>76812</v>
      </c>
      <c r="G50" s="63">
        <v>75996.69</v>
      </c>
      <c r="H50" s="63">
        <v>75996.69</v>
      </c>
      <c r="I50" s="63">
        <v>75996.69</v>
      </c>
    </row>
    <row r="51" spans="1:9" ht="25.5" x14ac:dyDescent="0.25">
      <c r="A51" s="32"/>
      <c r="B51" s="32">
        <v>372</v>
      </c>
      <c r="C51" s="14">
        <v>12</v>
      </c>
      <c r="D51" s="70" t="s">
        <v>124</v>
      </c>
      <c r="E51" s="132">
        <f>SUM(E52:E52)</f>
        <v>58025.15</v>
      </c>
      <c r="F51" s="132">
        <f>SUM(F52:F52)</f>
        <v>76812.13</v>
      </c>
      <c r="G51" s="62">
        <f>SUM(G52:G52)</f>
        <v>75996.69</v>
      </c>
      <c r="H51" s="62">
        <f>SUM(H52:H52)</f>
        <v>75996.69</v>
      </c>
      <c r="I51" s="62">
        <f>SUM(I52:I52)</f>
        <v>75996.69</v>
      </c>
    </row>
    <row r="52" spans="1:9" ht="25.5" x14ac:dyDescent="0.25">
      <c r="A52" s="13"/>
      <c r="B52" s="13">
        <v>3722</v>
      </c>
      <c r="C52" s="14">
        <v>12</v>
      </c>
      <c r="D52" s="20" t="s">
        <v>125</v>
      </c>
      <c r="E52" s="131">
        <v>58025.15</v>
      </c>
      <c r="F52" s="127">
        <v>76812.13</v>
      </c>
      <c r="G52" s="63">
        <v>75996.69</v>
      </c>
      <c r="H52" s="63">
        <v>75996.69</v>
      </c>
      <c r="I52" s="63">
        <v>75996.69</v>
      </c>
    </row>
    <row r="53" spans="1:9" x14ac:dyDescent="0.25">
      <c r="A53" s="13"/>
      <c r="B53" s="13"/>
      <c r="C53" s="14"/>
      <c r="D53" s="14"/>
      <c r="E53" s="131"/>
      <c r="F53" s="127"/>
      <c r="G53" s="63"/>
      <c r="H53" s="63"/>
      <c r="I53" s="63"/>
    </row>
    <row r="54" spans="1:9" ht="26.25" x14ac:dyDescent="0.25">
      <c r="A54" s="56" t="s">
        <v>82</v>
      </c>
      <c r="B54" s="120" t="s">
        <v>83</v>
      </c>
      <c r="C54" s="14"/>
      <c r="D54" s="14"/>
      <c r="E54" s="131"/>
      <c r="F54" s="127"/>
      <c r="G54" s="63"/>
      <c r="H54" s="63"/>
      <c r="I54" s="63"/>
    </row>
    <row r="55" spans="1:9" ht="25.5" x14ac:dyDescent="0.25">
      <c r="A55" s="15">
        <v>4</v>
      </c>
      <c r="B55" s="16"/>
      <c r="C55" s="16"/>
      <c r="D55" s="30" t="s">
        <v>24</v>
      </c>
      <c r="E55" s="132">
        <f>E59+E65</f>
        <v>54802.246243944515</v>
      </c>
      <c r="F55" s="132">
        <f>F59+F65</f>
        <v>6636.14</v>
      </c>
      <c r="G55" s="62">
        <f>G59+G65</f>
        <v>0</v>
      </c>
      <c r="H55" s="62">
        <f t="shared" ref="H55:I55" si="20">H59+H65</f>
        <v>0</v>
      </c>
      <c r="I55" s="62">
        <f t="shared" si="20"/>
        <v>0</v>
      </c>
    </row>
    <row r="56" spans="1:9" ht="25.5" x14ac:dyDescent="0.25">
      <c r="A56" s="12"/>
      <c r="B56" s="12">
        <v>41</v>
      </c>
      <c r="C56" s="12"/>
      <c r="D56" s="30" t="s">
        <v>25</v>
      </c>
      <c r="E56" s="132"/>
      <c r="F56" s="126"/>
      <c r="G56" s="64"/>
      <c r="H56" s="64"/>
      <c r="I56" s="64"/>
    </row>
    <row r="57" spans="1:9" x14ac:dyDescent="0.25">
      <c r="A57" s="17"/>
      <c r="B57" s="17"/>
      <c r="C57" s="14">
        <v>12</v>
      </c>
      <c r="D57" s="14" t="s">
        <v>20</v>
      </c>
      <c r="E57" s="131"/>
      <c r="F57" s="127"/>
      <c r="G57" s="63"/>
      <c r="H57" s="63"/>
      <c r="I57" s="63"/>
    </row>
    <row r="58" spans="1:9" x14ac:dyDescent="0.25">
      <c r="A58" s="17"/>
      <c r="B58" s="17"/>
      <c r="C58" s="14"/>
      <c r="E58" s="131"/>
      <c r="F58" s="127"/>
      <c r="G58" s="63"/>
      <c r="H58" s="63"/>
      <c r="I58" s="63"/>
    </row>
    <row r="59" spans="1:9" ht="38.25" x14ac:dyDescent="0.25">
      <c r="A59" s="12"/>
      <c r="B59" s="12">
        <v>42</v>
      </c>
      <c r="C59" s="46">
        <v>12</v>
      </c>
      <c r="D59" s="67" t="s">
        <v>87</v>
      </c>
      <c r="E59" s="132">
        <v>2460.85</v>
      </c>
      <c r="F59" s="126"/>
      <c r="G59" s="64"/>
      <c r="H59" s="64"/>
      <c r="I59" s="64"/>
    </row>
    <row r="60" spans="1:9" x14ac:dyDescent="0.25">
      <c r="A60" s="12"/>
      <c r="B60" s="76">
        <v>422</v>
      </c>
      <c r="C60" s="46">
        <v>12</v>
      </c>
      <c r="D60" s="46" t="s">
        <v>86</v>
      </c>
      <c r="E60" s="132"/>
      <c r="F60" s="126"/>
      <c r="G60" s="64"/>
      <c r="H60" s="64"/>
      <c r="I60" s="64"/>
    </row>
    <row r="61" spans="1:9" x14ac:dyDescent="0.25">
      <c r="A61" s="57"/>
      <c r="B61" s="57">
        <v>4221</v>
      </c>
      <c r="C61" s="14">
        <v>12</v>
      </c>
      <c r="D61" s="60" t="s">
        <v>84</v>
      </c>
      <c r="E61" s="58">
        <f>18541.25/7.5345</f>
        <v>2460.8467715176853</v>
      </c>
      <c r="F61" s="58"/>
      <c r="G61" s="65"/>
      <c r="H61" s="65"/>
      <c r="I61" s="65"/>
    </row>
    <row r="62" spans="1:9" x14ac:dyDescent="0.25">
      <c r="A62" s="57"/>
      <c r="B62" s="57">
        <v>4223</v>
      </c>
      <c r="C62" s="14">
        <v>12</v>
      </c>
      <c r="D62" s="60" t="s">
        <v>90</v>
      </c>
      <c r="E62" s="58"/>
      <c r="F62" s="58"/>
      <c r="G62" s="65"/>
      <c r="H62" s="65"/>
      <c r="I62" s="65"/>
    </row>
    <row r="63" spans="1:9" x14ac:dyDescent="0.25">
      <c r="A63" s="57"/>
      <c r="B63" s="57"/>
      <c r="C63" s="14"/>
      <c r="D63" s="60"/>
      <c r="E63" s="58"/>
      <c r="F63" s="58"/>
      <c r="G63" s="65"/>
      <c r="H63" s="65"/>
      <c r="I63" s="65"/>
    </row>
    <row r="64" spans="1:9" x14ac:dyDescent="0.25">
      <c r="A64" s="57"/>
      <c r="B64" s="57"/>
      <c r="C64" s="14"/>
      <c r="D64" s="60"/>
      <c r="E64" s="58"/>
      <c r="F64" s="58"/>
      <c r="G64" s="65"/>
      <c r="H64" s="65"/>
      <c r="I64" s="65"/>
    </row>
    <row r="65" spans="1:9" ht="30" x14ac:dyDescent="0.25">
      <c r="A65" s="71"/>
      <c r="B65" s="72">
        <v>45</v>
      </c>
      <c r="C65" s="46">
        <v>12</v>
      </c>
      <c r="D65" s="73" t="s">
        <v>88</v>
      </c>
      <c r="E65" s="74">
        <f t="shared" ref="E65:I66" si="21">E66</f>
        <v>52341.396243944517</v>
      </c>
      <c r="F65" s="74">
        <f t="shared" si="21"/>
        <v>6636.14</v>
      </c>
      <c r="G65" s="75">
        <f t="shared" si="21"/>
        <v>0</v>
      </c>
      <c r="H65" s="75">
        <f t="shared" si="21"/>
        <v>0</v>
      </c>
      <c r="I65" s="75">
        <f t="shared" si="21"/>
        <v>0</v>
      </c>
    </row>
    <row r="66" spans="1:9" ht="30" x14ac:dyDescent="0.25">
      <c r="A66" s="71"/>
      <c r="B66" s="71">
        <v>451</v>
      </c>
      <c r="C66" s="46">
        <v>12</v>
      </c>
      <c r="D66" s="73" t="s">
        <v>89</v>
      </c>
      <c r="E66" s="74">
        <f t="shared" si="21"/>
        <v>52341.396243944517</v>
      </c>
      <c r="F66" s="74">
        <f t="shared" si="21"/>
        <v>6636.14</v>
      </c>
      <c r="G66" s="75">
        <f t="shared" si="21"/>
        <v>0</v>
      </c>
      <c r="H66" s="75">
        <f t="shared" si="21"/>
        <v>0</v>
      </c>
      <c r="I66" s="75">
        <f t="shared" si="21"/>
        <v>0</v>
      </c>
    </row>
    <row r="67" spans="1:9" x14ac:dyDescent="0.25">
      <c r="A67" s="57"/>
      <c r="B67" s="57">
        <v>4511</v>
      </c>
      <c r="C67" s="14">
        <v>12</v>
      </c>
      <c r="D67" s="60" t="s">
        <v>85</v>
      </c>
      <c r="E67" s="58">
        <f>394366.25/7.5345</f>
        <v>52341.396243944517</v>
      </c>
      <c r="F67" s="58">
        <v>6636.14</v>
      </c>
      <c r="G67" s="65"/>
      <c r="H67" s="65"/>
      <c r="I67" s="65"/>
    </row>
    <row r="68" spans="1:9" ht="38.25" x14ac:dyDescent="0.25">
      <c r="A68" s="13"/>
      <c r="B68" s="32">
        <v>37</v>
      </c>
      <c r="C68" s="46">
        <v>17</v>
      </c>
      <c r="D68" s="70" t="s">
        <v>123</v>
      </c>
      <c r="E68" s="132"/>
      <c r="F68" s="126"/>
      <c r="G68" s="64">
        <v>3128</v>
      </c>
      <c r="H68" s="64">
        <v>3128</v>
      </c>
      <c r="I68" s="64">
        <v>3128</v>
      </c>
    </row>
    <row r="69" spans="1:9" ht="25.5" x14ac:dyDescent="0.25">
      <c r="A69" s="32"/>
      <c r="B69" s="32">
        <v>372</v>
      </c>
      <c r="C69" s="46">
        <v>17</v>
      </c>
      <c r="D69" s="70" t="s">
        <v>124</v>
      </c>
      <c r="E69" s="132">
        <f>SUM(E70:E70)</f>
        <v>0</v>
      </c>
      <c r="F69" s="132">
        <f>SUM(F70:F70)</f>
        <v>0</v>
      </c>
      <c r="G69" s="62">
        <f>SUM(G70:G70)</f>
        <v>3128</v>
      </c>
      <c r="H69" s="62">
        <f>SUM(H70:H70)</f>
        <v>3128</v>
      </c>
      <c r="I69" s="62">
        <f>SUM(I70:I70)</f>
        <v>3128</v>
      </c>
    </row>
    <row r="70" spans="1:9" ht="25.5" x14ac:dyDescent="0.25">
      <c r="A70" s="13"/>
      <c r="B70" s="13">
        <v>3721</v>
      </c>
      <c r="C70" s="14">
        <v>17</v>
      </c>
      <c r="D70" s="20" t="s">
        <v>185</v>
      </c>
      <c r="E70" s="131"/>
      <c r="F70" s="127"/>
      <c r="G70" s="63">
        <v>3128</v>
      </c>
      <c r="H70" s="63">
        <v>3128</v>
      </c>
      <c r="I70" s="63">
        <v>3128</v>
      </c>
    </row>
    <row r="71" spans="1:9" x14ac:dyDescent="0.25">
      <c r="A71" s="57"/>
      <c r="B71" s="57"/>
      <c r="C71" s="14"/>
      <c r="D71" s="60"/>
      <c r="E71" s="58"/>
      <c r="F71" s="58"/>
      <c r="G71" s="65"/>
      <c r="H71" s="65"/>
      <c r="I71" s="65"/>
    </row>
    <row r="72" spans="1:9" x14ac:dyDescent="0.25">
      <c r="A72" s="57"/>
      <c r="B72" s="57">
        <v>501</v>
      </c>
      <c r="C72" s="14"/>
      <c r="D72" s="60" t="s">
        <v>180</v>
      </c>
      <c r="E72" s="65">
        <f t="shared" ref="E72" si="22">E73+E108+E116+E99</f>
        <v>1007033.2828986662</v>
      </c>
      <c r="F72" s="65">
        <f>F73+F108+F116+F99</f>
        <v>1097046.9175127747</v>
      </c>
      <c r="G72" s="65">
        <f>G73+G108+G116+G99</f>
        <v>1392558.2593251048</v>
      </c>
      <c r="H72" s="65">
        <f t="shared" ref="H72:I72" si="23">H73+H108+H116+H99</f>
        <v>1392558.2593251048</v>
      </c>
      <c r="I72" s="65">
        <f t="shared" si="23"/>
        <v>1392558.2593251048</v>
      </c>
    </row>
    <row r="73" spans="1:9" x14ac:dyDescent="0.25">
      <c r="A73" s="57"/>
      <c r="B73" s="57"/>
      <c r="C73" s="57"/>
      <c r="D73" s="57"/>
      <c r="E73" s="126">
        <f>E74+E128+E123</f>
        <v>1006596.624858982</v>
      </c>
      <c r="F73" s="126">
        <f>F74+F128+F123</f>
        <v>1094233.1939743846</v>
      </c>
      <c r="G73" s="126">
        <f>G74+G128+G123+G115+G121</f>
        <v>1389731.2635058733</v>
      </c>
      <c r="H73" s="126">
        <f t="shared" ref="H73:I73" si="24">H74+H128+H123+H115+H121</f>
        <v>1389731.2635058733</v>
      </c>
      <c r="I73" s="126">
        <f t="shared" si="24"/>
        <v>1389731.2635058733</v>
      </c>
    </row>
    <row r="74" spans="1:9" ht="51" x14ac:dyDescent="0.25">
      <c r="A74" s="12" t="s">
        <v>172</v>
      </c>
      <c r="B74" s="70" t="s">
        <v>173</v>
      </c>
      <c r="C74" s="17"/>
      <c r="D74" s="17"/>
      <c r="E74" s="64">
        <f>E78+E86</f>
        <v>983945.63541044539</v>
      </c>
      <c r="F74" s="64">
        <f>F78+F86</f>
        <v>1069679.4744176785</v>
      </c>
      <c r="G74" s="64">
        <f>G78+G86</f>
        <v>1358504.2139491672</v>
      </c>
      <c r="H74" s="64">
        <f>H78+H86</f>
        <v>1358504.2139491672</v>
      </c>
      <c r="I74" s="64">
        <f>I78+I86</f>
        <v>1358504.2139491672</v>
      </c>
    </row>
    <row r="75" spans="1:9" x14ac:dyDescent="0.25">
      <c r="A75" s="57"/>
      <c r="B75" s="57"/>
      <c r="C75" s="60"/>
      <c r="D75" s="57"/>
      <c r="E75" s="58"/>
      <c r="F75" s="58"/>
      <c r="G75" s="65"/>
      <c r="H75" s="65"/>
      <c r="I75" s="65"/>
    </row>
    <row r="76" spans="1:9" x14ac:dyDescent="0.25">
      <c r="A76" s="12"/>
      <c r="B76" s="12"/>
      <c r="C76" s="70">
        <v>501</v>
      </c>
      <c r="D76" s="12"/>
    </row>
    <row r="77" spans="1:9" x14ac:dyDescent="0.25">
      <c r="A77" s="12">
        <v>3</v>
      </c>
      <c r="B77" s="12"/>
      <c r="C77" s="70">
        <v>501</v>
      </c>
      <c r="D77" s="12"/>
    </row>
    <row r="78" spans="1:9" x14ac:dyDescent="0.25">
      <c r="A78" s="12"/>
      <c r="B78" s="12">
        <v>31</v>
      </c>
      <c r="C78" s="70">
        <v>501</v>
      </c>
      <c r="D78" s="70" t="s">
        <v>23</v>
      </c>
      <c r="E78" s="126">
        <f>E79+E81+E83</f>
        <v>944140.71139425319</v>
      </c>
      <c r="F78" s="126">
        <f>F79+F81+F83</f>
        <v>1029484.3718893091</v>
      </c>
      <c r="G78" s="64">
        <f>G79+G81+G83</f>
        <v>1313955.803304798</v>
      </c>
      <c r="H78" s="64">
        <f t="shared" ref="H78:I78" si="25">H79+H81+H83</f>
        <v>1313955.803304798</v>
      </c>
      <c r="I78" s="64">
        <f t="shared" si="25"/>
        <v>1313955.803304798</v>
      </c>
    </row>
    <row r="79" spans="1:9" x14ac:dyDescent="0.25">
      <c r="A79" s="12"/>
      <c r="B79" s="12">
        <v>311</v>
      </c>
      <c r="C79" s="70">
        <v>501</v>
      </c>
      <c r="D79" s="70" t="s">
        <v>109</v>
      </c>
      <c r="E79" s="132">
        <f>SUM(E80)</f>
        <v>781459.61112217139</v>
      </c>
      <c r="F79" s="132">
        <f>SUM(F80)</f>
        <v>855796.6686575088</v>
      </c>
      <c r="G79" s="62">
        <f>SUM(G80)</f>
        <v>1088327.0289999335</v>
      </c>
      <c r="H79" s="62">
        <f t="shared" ref="H79:I79" si="26">SUM(H80)</f>
        <v>1088327.0289999335</v>
      </c>
      <c r="I79" s="62">
        <f t="shared" si="26"/>
        <v>1088327.0289999335</v>
      </c>
    </row>
    <row r="80" spans="1:9" x14ac:dyDescent="0.25">
      <c r="A80" s="12"/>
      <c r="B80" s="17">
        <v>3111</v>
      </c>
      <c r="C80" s="20">
        <v>501</v>
      </c>
      <c r="D80" s="20" t="s">
        <v>110</v>
      </c>
      <c r="E80" s="131">
        <f>5887907.44/7.5345</f>
        <v>781459.61112217139</v>
      </c>
      <c r="F80" s="127">
        <f>6448000/7.5345</f>
        <v>855796.6686575088</v>
      </c>
      <c r="G80" s="63">
        <f>8200000/7.5345</f>
        <v>1088327.0289999335</v>
      </c>
      <c r="H80" s="63">
        <f t="shared" ref="H80:I80" si="27">8200000/7.5345</f>
        <v>1088327.0289999335</v>
      </c>
      <c r="I80" s="63">
        <f t="shared" si="27"/>
        <v>1088327.0289999335</v>
      </c>
    </row>
    <row r="81" spans="1:9" x14ac:dyDescent="0.25">
      <c r="A81" s="12"/>
      <c r="B81" s="12">
        <v>312</v>
      </c>
      <c r="C81" s="70">
        <v>501</v>
      </c>
      <c r="D81" s="70" t="s">
        <v>111</v>
      </c>
      <c r="E81" s="132">
        <f>SUM(E82)</f>
        <v>33259.313823080491</v>
      </c>
      <c r="F81" s="132">
        <f t="shared" ref="F81:I81" si="28">SUM(F82)</f>
        <v>35835.158271949032</v>
      </c>
      <c r="G81" s="62">
        <f t="shared" si="28"/>
        <v>39816.842524387816</v>
      </c>
      <c r="H81" s="62">
        <f t="shared" si="28"/>
        <v>39816.842524387816</v>
      </c>
      <c r="I81" s="62">
        <f t="shared" si="28"/>
        <v>39816.842524387816</v>
      </c>
    </row>
    <row r="82" spans="1:9" x14ac:dyDescent="0.25">
      <c r="A82" s="12"/>
      <c r="B82" s="17">
        <v>3121</v>
      </c>
      <c r="C82" s="20">
        <v>501</v>
      </c>
      <c r="D82" s="20" t="s">
        <v>111</v>
      </c>
      <c r="E82" s="131">
        <f>250592.3/7.5345</f>
        <v>33259.313823080491</v>
      </c>
      <c r="F82" s="127">
        <f>270000/7.5345</f>
        <v>35835.158271949032</v>
      </c>
      <c r="G82" s="63">
        <f>300000/7.5345</f>
        <v>39816.842524387816</v>
      </c>
      <c r="H82" s="63">
        <f t="shared" ref="H82:I82" si="29">300000/7.5345</f>
        <v>39816.842524387816</v>
      </c>
      <c r="I82" s="63">
        <f t="shared" si="29"/>
        <v>39816.842524387816</v>
      </c>
    </row>
    <row r="83" spans="1:9" x14ac:dyDescent="0.25">
      <c r="A83" s="12"/>
      <c r="B83" s="12">
        <v>313</v>
      </c>
      <c r="C83" s="70">
        <v>501</v>
      </c>
      <c r="D83" s="70" t="s">
        <v>112</v>
      </c>
      <c r="E83" s="132">
        <f>SUM(E84)</f>
        <v>129421.78644900124</v>
      </c>
      <c r="F83" s="132">
        <f t="shared" ref="F83:H83" si="30">SUM(F84)</f>
        <v>137852.54495985134</v>
      </c>
      <c r="G83" s="62">
        <f t="shared" si="30"/>
        <v>185811.93178047647</v>
      </c>
      <c r="H83" s="62">
        <f t="shared" si="30"/>
        <v>185811.93178047647</v>
      </c>
      <c r="I83" s="62">
        <f>SUM(I84)</f>
        <v>185811.93178047647</v>
      </c>
    </row>
    <row r="84" spans="1:9" ht="26.25" thickBot="1" x14ac:dyDescent="0.3">
      <c r="A84" s="168"/>
      <c r="B84" s="169">
        <v>3132</v>
      </c>
      <c r="C84" s="170">
        <v>501</v>
      </c>
      <c r="D84" s="170" t="s">
        <v>113</v>
      </c>
      <c r="E84" s="138">
        <f>975128.45/7.5345</f>
        <v>129421.78644900124</v>
      </c>
      <c r="F84" s="171">
        <f>1038650/7.5345</f>
        <v>137852.54495985134</v>
      </c>
      <c r="G84" s="172">
        <f>1400000/7.5345</f>
        <v>185811.93178047647</v>
      </c>
      <c r="H84" s="172">
        <f t="shared" ref="H84:I84" si="31">1400000/7.5345</f>
        <v>185811.93178047647</v>
      </c>
      <c r="I84" s="172">
        <f t="shared" si="31"/>
        <v>185811.93178047647</v>
      </c>
    </row>
    <row r="85" spans="1:9" s="149" customFormat="1" ht="15.75" thickBot="1" x14ac:dyDescent="0.3">
      <c r="A85" s="177">
        <v>501</v>
      </c>
      <c r="B85" s="178">
        <v>32</v>
      </c>
      <c r="C85" s="178"/>
      <c r="D85" s="178"/>
      <c r="E85" s="179">
        <f t="shared" ref="E85" si="32">E86+E99++E108+E116</f>
        <v>40241.582055876301</v>
      </c>
      <c r="F85" s="179">
        <f>F86+F99++F108+F116</f>
        <v>43008.826066759568</v>
      </c>
      <c r="G85" s="179">
        <f>G86+G99++G108+G116</f>
        <v>47375.406463600768</v>
      </c>
      <c r="H85" s="179">
        <f t="shared" ref="H85:I85" si="33">H86+H99++H108+H116</f>
        <v>47375.406463600768</v>
      </c>
      <c r="I85" s="180">
        <f t="shared" si="33"/>
        <v>47375.406463600768</v>
      </c>
    </row>
    <row r="86" spans="1:9" x14ac:dyDescent="0.25">
      <c r="A86" s="173"/>
      <c r="B86" s="173">
        <v>32</v>
      </c>
      <c r="C86" s="174">
        <v>501</v>
      </c>
      <c r="D86" s="174" t="s">
        <v>114</v>
      </c>
      <c r="E86" s="175">
        <f>E87+E89+E91</f>
        <v>39804.924016192184</v>
      </c>
      <c r="F86" s="175">
        <f>F87+F89+F91</f>
        <v>40195.102528369498</v>
      </c>
      <c r="G86" s="176">
        <f>G87+G89+G91</f>
        <v>44548.410644369236</v>
      </c>
      <c r="H86" s="176">
        <f>H87+H89+H91</f>
        <v>44548.410644369236</v>
      </c>
      <c r="I86" s="176">
        <f>I87+I89+I91</f>
        <v>44548.410644369236</v>
      </c>
    </row>
    <row r="87" spans="1:9" ht="25.5" x14ac:dyDescent="0.25">
      <c r="A87" s="12"/>
      <c r="B87" s="12">
        <v>321</v>
      </c>
      <c r="C87" s="70">
        <v>501</v>
      </c>
      <c r="D87" s="70" t="s">
        <v>115</v>
      </c>
      <c r="E87" s="126">
        <f>E88</f>
        <v>36994.518548012478</v>
      </c>
      <c r="F87" s="126">
        <f>F88+F99</f>
        <v>35357.356161656375</v>
      </c>
      <c r="G87" s="64">
        <f>G88</f>
        <v>39816.842524387816</v>
      </c>
      <c r="H87" s="64">
        <f t="shared" ref="H87:I87" si="34">H88</f>
        <v>39816.842524387816</v>
      </c>
      <c r="I87" s="64">
        <f t="shared" si="34"/>
        <v>39816.842524387816</v>
      </c>
    </row>
    <row r="88" spans="1:9" x14ac:dyDescent="0.25">
      <c r="A88" s="12"/>
      <c r="B88" s="17">
        <v>3212</v>
      </c>
      <c r="C88" s="20">
        <v>501</v>
      </c>
      <c r="D88" s="20" t="s">
        <v>116</v>
      </c>
      <c r="E88" s="131">
        <f>278735.2/7.5345</f>
        <v>36994.518548012478</v>
      </c>
      <c r="F88" s="127">
        <f>266000/7.5345</f>
        <v>35304.267038290527</v>
      </c>
      <c r="G88" s="63">
        <f>300000/7.5345</f>
        <v>39816.842524387816</v>
      </c>
      <c r="H88" s="63">
        <f t="shared" ref="H88:I88" si="35">300000/7.5345</f>
        <v>39816.842524387816</v>
      </c>
      <c r="I88" s="63">
        <f t="shared" si="35"/>
        <v>39816.842524387816</v>
      </c>
    </row>
    <row r="89" spans="1:9" x14ac:dyDescent="0.25">
      <c r="A89" s="12"/>
      <c r="B89" s="12">
        <v>323</v>
      </c>
      <c r="C89" s="70">
        <v>501</v>
      </c>
      <c r="D89" s="70" t="s">
        <v>117</v>
      </c>
      <c r="E89" s="64">
        <f>E90</f>
        <v>0</v>
      </c>
      <c r="F89" s="64">
        <f t="shared" ref="F89" si="36">F90</f>
        <v>1944.3891432742716</v>
      </c>
      <c r="G89" s="64">
        <f>G90</f>
        <v>1944.3891432742716</v>
      </c>
      <c r="H89" s="64">
        <f t="shared" ref="H89:I89" si="37">H90</f>
        <v>1944.3891432742716</v>
      </c>
      <c r="I89" s="64">
        <f t="shared" si="37"/>
        <v>1944.3891432742716</v>
      </c>
    </row>
    <row r="90" spans="1:9" ht="25.5" x14ac:dyDescent="0.25">
      <c r="A90" s="17"/>
      <c r="B90" s="17">
        <v>3236</v>
      </c>
      <c r="C90" s="20">
        <v>501</v>
      </c>
      <c r="D90" s="20" t="s">
        <v>118</v>
      </c>
      <c r="E90" s="66"/>
      <c r="F90" s="127">
        <f>14650/7.5345</f>
        <v>1944.3891432742716</v>
      </c>
      <c r="G90" s="63">
        <f>14650/7.5345</f>
        <v>1944.3891432742716</v>
      </c>
      <c r="H90" s="63">
        <f t="shared" ref="H90:I90" si="38">14650/7.5345</f>
        <v>1944.3891432742716</v>
      </c>
      <c r="I90" s="63">
        <f t="shared" si="38"/>
        <v>1944.3891432742716</v>
      </c>
    </row>
    <row r="91" spans="1:9" ht="25.5" x14ac:dyDescent="0.25">
      <c r="A91" s="12"/>
      <c r="B91" s="12">
        <v>329</v>
      </c>
      <c r="C91" s="70">
        <v>501</v>
      </c>
      <c r="D91" s="70" t="s">
        <v>119</v>
      </c>
      <c r="E91" s="64">
        <f>E92+E116</f>
        <v>2810.4054681797065</v>
      </c>
      <c r="F91" s="64">
        <f t="shared" ref="F91" si="39">F92+F116</f>
        <v>2893.3572234388475</v>
      </c>
      <c r="G91" s="64">
        <f>G92</f>
        <v>2787.1789767071468</v>
      </c>
      <c r="H91" s="64">
        <f t="shared" ref="H91:I91" si="40">H92</f>
        <v>2787.1789767071468</v>
      </c>
      <c r="I91" s="64">
        <f t="shared" si="40"/>
        <v>2787.1789767071468</v>
      </c>
    </row>
    <row r="92" spans="1:9" ht="25.5" x14ac:dyDescent="0.25">
      <c r="A92" s="12"/>
      <c r="B92" s="17">
        <v>32955</v>
      </c>
      <c r="C92" s="20">
        <v>501</v>
      </c>
      <c r="D92" s="20" t="s">
        <v>120</v>
      </c>
      <c r="E92" s="131">
        <f>21175/7.5345</f>
        <v>2810.4054681797065</v>
      </c>
      <c r="F92" s="127">
        <f>21000/7.5345</f>
        <v>2787.1789767071468</v>
      </c>
      <c r="G92" s="63">
        <f>21000/7.5345</f>
        <v>2787.1789767071468</v>
      </c>
      <c r="H92" s="63">
        <f t="shared" ref="H92:I92" si="41">21000/7.5345</f>
        <v>2787.1789767071468</v>
      </c>
      <c r="I92" s="63">
        <f t="shared" si="41"/>
        <v>2787.1789767071468</v>
      </c>
    </row>
    <row r="93" spans="1:9" ht="25.5" x14ac:dyDescent="0.25">
      <c r="A93" s="12" t="s">
        <v>175</v>
      </c>
      <c r="B93" s="12" t="s">
        <v>176</v>
      </c>
      <c r="C93" s="70"/>
      <c r="D93" s="70"/>
      <c r="E93" s="64">
        <f t="shared" ref="E93" si="42">E94+E128</f>
        <v>46291.926471564133</v>
      </c>
      <c r="F93" s="64">
        <f>F94+F128</f>
        <v>65238.559740526907</v>
      </c>
      <c r="G93" s="64">
        <f>G94+G128</f>
        <v>65411.100089587897</v>
      </c>
      <c r="H93" s="64">
        <f t="shared" ref="H93:I93" si="43">H94+H128</f>
        <v>65411.100089587897</v>
      </c>
      <c r="I93" s="64">
        <f t="shared" si="43"/>
        <v>65411.100089587897</v>
      </c>
    </row>
    <row r="94" spans="1:9" ht="25.5" x14ac:dyDescent="0.25">
      <c r="A94" s="12"/>
      <c r="B94" s="12" t="s">
        <v>174</v>
      </c>
      <c r="C94" s="70"/>
      <c r="D94" s="70" t="s">
        <v>177</v>
      </c>
      <c r="E94" s="158">
        <f t="shared" ref="E94" si="44">E95+E123</f>
        <v>38460.126086667988</v>
      </c>
      <c r="F94" s="158">
        <f>F95+F123</f>
        <v>57275.191235649349</v>
      </c>
      <c r="G94" s="158">
        <f>G95+G123</f>
        <v>57447.731584710338</v>
      </c>
      <c r="H94" s="158">
        <f t="shared" ref="H94:I94" si="45">H95+H123</f>
        <v>57447.731584710338</v>
      </c>
      <c r="I94" s="158">
        <f t="shared" si="45"/>
        <v>57447.731584710338</v>
      </c>
    </row>
    <row r="95" spans="1:9" x14ac:dyDescent="0.25">
      <c r="A95" s="12"/>
      <c r="B95" s="12">
        <v>32</v>
      </c>
      <c r="C95" s="70">
        <v>501</v>
      </c>
      <c r="D95" s="70"/>
      <c r="E95" s="126">
        <f>E98+E99+E100+E106+E113</f>
        <v>23640.937023027403</v>
      </c>
      <c r="F95" s="126">
        <f>F98+F99+F100+F106+F116</f>
        <v>40684.840183821092</v>
      </c>
      <c r="G95" s="126">
        <f>G98+G99+G100+G106+G113</f>
        <v>40857.380532882082</v>
      </c>
      <c r="H95" s="126">
        <f>H98+H99+H100+H106+H113</f>
        <v>40857.380532882082</v>
      </c>
      <c r="I95" s="126">
        <f>I98+I99+I100+I106+I113</f>
        <v>40857.380532882082</v>
      </c>
    </row>
    <row r="96" spans="1:9" x14ac:dyDescent="0.25">
      <c r="A96" s="12"/>
      <c r="B96" s="12"/>
      <c r="C96" s="70"/>
      <c r="D96" s="70"/>
      <c r="E96" s="126"/>
      <c r="F96" s="126"/>
      <c r="G96" s="126"/>
      <c r="H96" s="126"/>
      <c r="I96" s="126"/>
    </row>
    <row r="97" spans="1:9" ht="25.5" x14ac:dyDescent="0.25">
      <c r="A97" s="12"/>
      <c r="B97" s="12">
        <v>321</v>
      </c>
      <c r="C97" s="70"/>
      <c r="D97" s="70" t="s">
        <v>115</v>
      </c>
      <c r="E97" s="126">
        <f>E98+E99</f>
        <v>346.93742119583248</v>
      </c>
      <c r="F97" s="126">
        <f>F98+F99</f>
        <v>132.72280841462606</v>
      </c>
      <c r="G97" s="64">
        <f>G98+G99</f>
        <v>146.00140420731304</v>
      </c>
      <c r="H97" s="64">
        <f>H98+H99</f>
        <v>146.00140420731304</v>
      </c>
      <c r="I97" s="64">
        <f t="shared" ref="I97" si="46">I98+I99</f>
        <v>146.00140420731304</v>
      </c>
    </row>
    <row r="98" spans="1:9" x14ac:dyDescent="0.25">
      <c r="A98" s="17"/>
      <c r="B98" s="81">
        <v>3211</v>
      </c>
      <c r="C98" s="81">
        <v>31</v>
      </c>
      <c r="D98" s="81" t="s">
        <v>63</v>
      </c>
      <c r="E98" s="131">
        <f>2614/7.5345</f>
        <v>346.93742119583248</v>
      </c>
      <c r="F98" s="82">
        <f>600/7.5345</f>
        <v>79.633685048775632</v>
      </c>
      <c r="G98" s="63">
        <v>79.64</v>
      </c>
      <c r="H98" s="63">
        <v>79.64</v>
      </c>
      <c r="I98" s="63">
        <v>79.64</v>
      </c>
    </row>
    <row r="99" spans="1:9" x14ac:dyDescent="0.25">
      <c r="A99" s="17"/>
      <c r="B99" s="17">
        <v>3211</v>
      </c>
      <c r="C99" s="20">
        <v>501</v>
      </c>
      <c r="D99" s="20" t="s">
        <v>121</v>
      </c>
      <c r="E99" s="133">
        <v>0</v>
      </c>
      <c r="F99" s="127">
        <f>400/7.5345</f>
        <v>53.089123365850419</v>
      </c>
      <c r="G99" s="63">
        <f>500/7.5345</f>
        <v>66.361404207313029</v>
      </c>
      <c r="H99" s="63">
        <f t="shared" ref="H99:I99" si="47">500/7.5345</f>
        <v>66.361404207313029</v>
      </c>
      <c r="I99" s="63">
        <f t="shared" si="47"/>
        <v>66.361404207313029</v>
      </c>
    </row>
    <row r="100" spans="1:9" x14ac:dyDescent="0.25">
      <c r="A100" s="12"/>
      <c r="B100" s="12">
        <v>322</v>
      </c>
      <c r="C100" s="70"/>
      <c r="D100" s="70" t="s">
        <v>114</v>
      </c>
      <c r="E100" s="134">
        <f>SUM(E101:E105)</f>
        <v>22007.59041741323</v>
      </c>
      <c r="F100" s="134">
        <f t="shared" ref="F100:I100" si="48">SUM(F101:F105)</f>
        <v>33890.769128674765</v>
      </c>
      <c r="G100" s="134">
        <f>SUM(G101:G105)</f>
        <v>33890.769128674765</v>
      </c>
      <c r="H100" s="134">
        <f t="shared" si="48"/>
        <v>33890.769128674765</v>
      </c>
      <c r="I100" s="134">
        <f t="shared" si="48"/>
        <v>33890.769128674765</v>
      </c>
    </row>
    <row r="101" spans="1:9" x14ac:dyDescent="0.25">
      <c r="A101" s="59"/>
      <c r="B101" s="60">
        <v>3221</v>
      </c>
      <c r="C101" s="60">
        <v>31</v>
      </c>
      <c r="D101" s="60" t="s">
        <v>66</v>
      </c>
      <c r="E101" s="83"/>
      <c r="F101" s="83">
        <f>3000/7.5345</f>
        <v>398.16842524387812</v>
      </c>
      <c r="G101" s="114">
        <f>3000/7.5345</f>
        <v>398.16842524387812</v>
      </c>
      <c r="H101" s="114">
        <f t="shared" ref="H101:I101" si="49">3000/7.5345</f>
        <v>398.16842524387812</v>
      </c>
      <c r="I101" s="114">
        <f t="shared" si="49"/>
        <v>398.16842524387812</v>
      </c>
    </row>
    <row r="102" spans="1:9" x14ac:dyDescent="0.25">
      <c r="A102" s="57"/>
      <c r="B102" s="60">
        <v>3222</v>
      </c>
      <c r="C102" s="60">
        <v>412</v>
      </c>
      <c r="D102" s="60" t="s">
        <v>136</v>
      </c>
      <c r="E102" s="83">
        <f>137675.5/7.5345</f>
        <v>18272.679009887848</v>
      </c>
      <c r="F102" s="83">
        <f>185400/7.5345</f>
        <v>24606.80868007167</v>
      </c>
      <c r="G102" s="114">
        <f>185400/7.5345</f>
        <v>24606.80868007167</v>
      </c>
      <c r="H102" s="114">
        <f t="shared" ref="H102:I102" si="50">185400/7.5345</f>
        <v>24606.80868007167</v>
      </c>
      <c r="I102" s="114">
        <f t="shared" si="50"/>
        <v>24606.80868007167</v>
      </c>
    </row>
    <row r="103" spans="1:9" x14ac:dyDescent="0.25">
      <c r="A103" s="57"/>
      <c r="B103" s="60">
        <v>3223</v>
      </c>
      <c r="C103" s="60">
        <v>412</v>
      </c>
      <c r="D103" s="60" t="s">
        <v>68</v>
      </c>
      <c r="E103" s="83">
        <f>26041.23/7.5345</f>
        <v>3456.2651801712123</v>
      </c>
      <c r="F103" s="83">
        <f>66950/7.5345</f>
        <v>8885.792023359214</v>
      </c>
      <c r="G103" s="114">
        <f>66950/7.5345</f>
        <v>8885.792023359214</v>
      </c>
      <c r="H103" s="114">
        <f t="shared" ref="H103:I103" si="51">66950/7.5345</f>
        <v>8885.792023359214</v>
      </c>
      <c r="I103" s="114">
        <f t="shared" si="51"/>
        <v>8885.792023359214</v>
      </c>
    </row>
    <row r="104" spans="1:9" x14ac:dyDescent="0.25">
      <c r="A104" s="59"/>
      <c r="B104" s="60">
        <v>3223</v>
      </c>
      <c r="C104" s="60">
        <v>31</v>
      </c>
      <c r="D104" s="60" t="s">
        <v>68</v>
      </c>
      <c r="E104" s="83">
        <f>2081.46/7.5345</f>
        <v>276.25721680270755</v>
      </c>
      <c r="F104" s="83"/>
      <c r="G104" s="75"/>
      <c r="H104" s="75"/>
      <c r="I104" s="75"/>
    </row>
    <row r="105" spans="1:9" x14ac:dyDescent="0.25">
      <c r="A105" s="59"/>
      <c r="B105" s="60">
        <v>3225</v>
      </c>
      <c r="C105" s="60">
        <v>31</v>
      </c>
      <c r="D105" s="60" t="s">
        <v>70</v>
      </c>
      <c r="E105" s="83">
        <f>18/7.5345</f>
        <v>2.3890105514632687</v>
      </c>
      <c r="F105" s="83"/>
      <c r="G105" s="75"/>
      <c r="H105" s="75"/>
      <c r="I105" s="75"/>
    </row>
    <row r="106" spans="1:9" x14ac:dyDescent="0.25">
      <c r="B106" s="123">
        <v>323</v>
      </c>
      <c r="C106" s="149"/>
      <c r="D106" s="122" t="s">
        <v>117</v>
      </c>
      <c r="E106" s="66">
        <f>SUM(E107:E112)</f>
        <v>1286.4091844183422</v>
      </c>
      <c r="F106" s="66">
        <v>6555.17</v>
      </c>
      <c r="G106" s="66">
        <v>6555.17</v>
      </c>
      <c r="H106" s="66">
        <v>6555.17</v>
      </c>
      <c r="I106" s="66">
        <v>6555.17</v>
      </c>
    </row>
    <row r="107" spans="1:9" x14ac:dyDescent="0.25">
      <c r="A107" s="59"/>
      <c r="B107" s="60">
        <v>3231</v>
      </c>
      <c r="C107" s="60">
        <v>31</v>
      </c>
      <c r="D107" s="60" t="s">
        <v>133</v>
      </c>
      <c r="E107" s="83"/>
      <c r="F107" s="83">
        <f>12000/7.5345</f>
        <v>1592.6737009755125</v>
      </c>
      <c r="G107" s="114">
        <f>12000/7.5345</f>
        <v>1592.6737009755125</v>
      </c>
      <c r="H107" s="114">
        <f t="shared" ref="H107:I107" si="52">12000/7.5345</f>
        <v>1592.6737009755125</v>
      </c>
      <c r="I107" s="114">
        <f t="shared" si="52"/>
        <v>1592.6737009755125</v>
      </c>
    </row>
    <row r="108" spans="1:9" x14ac:dyDescent="0.25">
      <c r="A108" s="17"/>
      <c r="B108" s="17">
        <v>3232</v>
      </c>
      <c r="C108" s="20">
        <v>501</v>
      </c>
      <c r="D108" s="20" t="s">
        <v>122</v>
      </c>
      <c r="E108" s="131">
        <f>3290/7.5345</f>
        <v>436.65803968411967</v>
      </c>
      <c r="F108" s="127">
        <f>20000/7.5345</f>
        <v>2654.4561682925209</v>
      </c>
      <c r="G108" s="63">
        <f>20000/7.5345</f>
        <v>2654.4561682925209</v>
      </c>
      <c r="H108" s="63">
        <f t="shared" ref="H108:I108" si="53">20000/7.5345</f>
        <v>2654.4561682925209</v>
      </c>
      <c r="I108" s="63">
        <f t="shared" si="53"/>
        <v>2654.4561682925209</v>
      </c>
    </row>
    <row r="109" spans="1:9" x14ac:dyDescent="0.25">
      <c r="A109" s="59"/>
      <c r="B109" s="60">
        <v>3234</v>
      </c>
      <c r="C109" s="60">
        <v>31</v>
      </c>
      <c r="D109" s="60" t="s">
        <v>75</v>
      </c>
      <c r="E109" s="83">
        <f>853.07/7.5345</f>
        <v>113.22184617426505</v>
      </c>
      <c r="F109" s="83">
        <f>10300/7.5345</f>
        <v>1367.0449266706482</v>
      </c>
      <c r="G109" s="114">
        <f>10300/7.5345</f>
        <v>1367.0449266706482</v>
      </c>
      <c r="H109" s="114">
        <f t="shared" ref="H109:I109" si="54">10300/7.5345</f>
        <v>1367.0449266706482</v>
      </c>
      <c r="I109" s="114">
        <f t="shared" si="54"/>
        <v>1367.0449266706482</v>
      </c>
    </row>
    <row r="110" spans="1:9" x14ac:dyDescent="0.25">
      <c r="A110" s="59"/>
      <c r="B110" s="60">
        <v>3237</v>
      </c>
      <c r="C110" s="60">
        <v>31</v>
      </c>
      <c r="D110" s="60" t="s">
        <v>134</v>
      </c>
      <c r="E110" s="83"/>
      <c r="F110" s="83">
        <f>4000/7.5345</f>
        <v>530.89123365850423</v>
      </c>
      <c r="G110" s="114">
        <f>4000/7.5345</f>
        <v>530.89123365850423</v>
      </c>
      <c r="H110" s="114">
        <f t="shared" ref="H110:I110" si="55">4000/7.5345</f>
        <v>530.89123365850423</v>
      </c>
      <c r="I110" s="114">
        <f t="shared" si="55"/>
        <v>530.89123365850423</v>
      </c>
    </row>
    <row r="111" spans="1:9" x14ac:dyDescent="0.25">
      <c r="A111" s="17"/>
      <c r="B111" s="17">
        <v>3237</v>
      </c>
      <c r="C111" s="20">
        <v>501</v>
      </c>
      <c r="D111" s="20" t="s">
        <v>137</v>
      </c>
      <c r="E111" s="131">
        <f>3625/7.5345</f>
        <v>481.12018050301941</v>
      </c>
      <c r="F111" s="127"/>
      <c r="G111" s="64"/>
      <c r="H111" s="64"/>
      <c r="I111" s="64"/>
    </row>
    <row r="112" spans="1:9" x14ac:dyDescent="0.25">
      <c r="A112" s="57"/>
      <c r="B112" s="60">
        <v>3239</v>
      </c>
      <c r="C112" s="60">
        <v>61</v>
      </c>
      <c r="D112" s="60" t="s">
        <v>78</v>
      </c>
      <c r="E112" s="83">
        <f>1924.38/7.5345</f>
        <v>255.4091180569381</v>
      </c>
      <c r="F112" s="83">
        <f>3090/7.5345</f>
        <v>410.11347800119449</v>
      </c>
      <c r="G112" s="114">
        <f>3090/7.5345</f>
        <v>410.11347800119449</v>
      </c>
      <c r="H112" s="114">
        <f t="shared" ref="H112:I112" si="56">3090/7.5345</f>
        <v>410.11347800119449</v>
      </c>
      <c r="I112" s="114">
        <f t="shared" si="56"/>
        <v>410.11347800119449</v>
      </c>
    </row>
    <row r="113" spans="1:9" x14ac:dyDescent="0.25">
      <c r="B113" s="122">
        <v>329</v>
      </c>
      <c r="C113" s="149"/>
      <c r="D113" s="46" t="s">
        <v>79</v>
      </c>
      <c r="E113" s="66">
        <f>SUM(E114:E117)</f>
        <v>0</v>
      </c>
      <c r="F113" s="66">
        <v>265.44</v>
      </c>
      <c r="G113" s="66">
        <v>265.44</v>
      </c>
      <c r="H113" s="66">
        <v>265.44</v>
      </c>
      <c r="I113" s="66">
        <v>265.44</v>
      </c>
    </row>
    <row r="114" spans="1:9" x14ac:dyDescent="0.25">
      <c r="A114" s="59"/>
      <c r="B114" s="60">
        <v>3293</v>
      </c>
      <c r="C114" s="60">
        <v>31</v>
      </c>
      <c r="D114" s="60" t="s">
        <v>135</v>
      </c>
      <c r="E114" s="83"/>
      <c r="F114" s="83">
        <f>1000/7.5345</f>
        <v>132.72280841462606</v>
      </c>
      <c r="G114" s="114">
        <f>1000/7.5345</f>
        <v>132.72280841462606</v>
      </c>
      <c r="H114" s="114">
        <f t="shared" ref="H114:I114" si="57">1000/7.5345</f>
        <v>132.72280841462606</v>
      </c>
      <c r="I114" s="114">
        <f t="shared" si="57"/>
        <v>132.72280841462606</v>
      </c>
    </row>
    <row r="115" spans="1:9" x14ac:dyDescent="0.25">
      <c r="A115" s="59"/>
      <c r="B115" s="60">
        <v>3296</v>
      </c>
      <c r="C115" s="60">
        <v>501</v>
      </c>
      <c r="D115" s="60" t="s">
        <v>198</v>
      </c>
      <c r="E115" s="215"/>
      <c r="F115" s="83"/>
      <c r="G115" s="114">
        <v>3982</v>
      </c>
      <c r="H115" s="114">
        <v>3982</v>
      </c>
      <c r="I115" s="114">
        <v>3982</v>
      </c>
    </row>
    <row r="116" spans="1:9" ht="25.5" x14ac:dyDescent="0.25">
      <c r="A116" s="12"/>
      <c r="B116" s="17">
        <v>3299</v>
      </c>
      <c r="C116" s="20">
        <v>501</v>
      </c>
      <c r="D116" s="20" t="s">
        <v>119</v>
      </c>
      <c r="E116" s="131"/>
      <c r="F116" s="127">
        <f>800/7.5345</f>
        <v>106.17824673170084</v>
      </c>
      <c r="G116" s="63">
        <f>800/7.5345</f>
        <v>106.17824673170084</v>
      </c>
      <c r="H116" s="63">
        <f t="shared" ref="H116:I116" si="58">800/7.5345</f>
        <v>106.17824673170084</v>
      </c>
      <c r="I116" s="63">
        <f t="shared" si="58"/>
        <v>106.17824673170084</v>
      </c>
    </row>
    <row r="117" spans="1:9" x14ac:dyDescent="0.25">
      <c r="A117" s="57"/>
      <c r="B117" s="60">
        <v>3299</v>
      </c>
      <c r="C117" s="60">
        <v>31</v>
      </c>
      <c r="D117" s="60" t="s">
        <v>79</v>
      </c>
      <c r="E117" s="83"/>
      <c r="F117" s="83">
        <f>200/7.5345</f>
        <v>26.54456168292521</v>
      </c>
      <c r="G117" s="114">
        <f>200/7.5345</f>
        <v>26.54456168292521</v>
      </c>
      <c r="H117" s="114">
        <f t="shared" ref="H117:I117" si="59">200/7.5345</f>
        <v>26.54456168292521</v>
      </c>
      <c r="I117" s="114">
        <f t="shared" si="59"/>
        <v>26.54456168292521</v>
      </c>
    </row>
    <row r="118" spans="1:9" x14ac:dyDescent="0.25">
      <c r="A118" s="57"/>
      <c r="B118" s="60"/>
      <c r="C118" s="60"/>
      <c r="D118" s="60"/>
      <c r="E118" s="215"/>
      <c r="F118" s="83"/>
      <c r="G118" s="114"/>
      <c r="H118" s="114"/>
      <c r="I118" s="114"/>
    </row>
    <row r="119" spans="1:9" x14ac:dyDescent="0.25">
      <c r="A119" s="13"/>
      <c r="B119" s="32">
        <v>34</v>
      </c>
      <c r="C119" s="14">
        <v>501</v>
      </c>
      <c r="D119" s="46" t="s">
        <v>130</v>
      </c>
      <c r="E119" s="132"/>
      <c r="F119" s="126"/>
      <c r="G119" s="64">
        <v>2691.33</v>
      </c>
      <c r="H119" s="64">
        <v>2691.33</v>
      </c>
      <c r="I119" s="64">
        <v>2691.33</v>
      </c>
    </row>
    <row r="120" spans="1:9" x14ac:dyDescent="0.25">
      <c r="A120" s="32"/>
      <c r="B120" s="32">
        <v>343</v>
      </c>
      <c r="C120" s="14">
        <v>501</v>
      </c>
      <c r="D120" s="46" t="s">
        <v>131</v>
      </c>
      <c r="E120" s="132"/>
      <c r="F120" s="132"/>
      <c r="G120" s="64">
        <v>2691.33</v>
      </c>
      <c r="H120" s="64">
        <v>2691.33</v>
      </c>
      <c r="I120" s="64">
        <v>2691.33</v>
      </c>
    </row>
    <row r="121" spans="1:9" x14ac:dyDescent="0.25">
      <c r="A121" s="13"/>
      <c r="B121" s="13">
        <v>3433</v>
      </c>
      <c r="C121" s="14">
        <v>501</v>
      </c>
      <c r="D121" s="14" t="s">
        <v>192</v>
      </c>
      <c r="E121" s="131"/>
      <c r="F121" s="127"/>
      <c r="G121" s="63">
        <v>2691.33</v>
      </c>
      <c r="H121" s="63">
        <v>2691.33</v>
      </c>
      <c r="I121" s="63">
        <v>2691.33</v>
      </c>
    </row>
    <row r="122" spans="1:9" x14ac:dyDescent="0.25">
      <c r="A122" s="57"/>
      <c r="B122" s="60"/>
      <c r="C122" s="60"/>
      <c r="D122" s="60"/>
      <c r="E122" s="83"/>
      <c r="F122" s="83"/>
      <c r="G122" s="114"/>
      <c r="H122" s="114"/>
      <c r="I122" s="114"/>
    </row>
    <row r="123" spans="1:9" ht="54.6" customHeight="1" x14ac:dyDescent="0.25">
      <c r="A123" s="12"/>
      <c r="B123" s="12">
        <v>37</v>
      </c>
      <c r="C123" s="70">
        <v>501</v>
      </c>
      <c r="D123" s="70" t="s">
        <v>123</v>
      </c>
      <c r="E123" s="126">
        <f>SUM(E125:E125)</f>
        <v>14819.189063640584</v>
      </c>
      <c r="F123" s="126">
        <f>SUM(F125:F125)</f>
        <v>16590.351051828256</v>
      </c>
      <c r="G123" s="64">
        <f t="shared" ref="G123:I123" si="60">SUM(G125:G125)</f>
        <v>16590.351051828256</v>
      </c>
      <c r="H123" s="64">
        <f t="shared" si="60"/>
        <v>16590.351051828256</v>
      </c>
      <c r="I123" s="64">
        <f t="shared" si="60"/>
        <v>16590.351051828256</v>
      </c>
    </row>
    <row r="124" spans="1:9" ht="25.5" x14ac:dyDescent="0.25">
      <c r="A124" s="12"/>
      <c r="B124" s="12">
        <v>372</v>
      </c>
      <c r="C124" s="70">
        <v>501</v>
      </c>
      <c r="D124" s="70" t="s">
        <v>124</v>
      </c>
      <c r="E124" s="126">
        <f>SUM(E125:E125)</f>
        <v>14819.189063640584</v>
      </c>
      <c r="F124" s="126">
        <f>SUM(F125:F125)</f>
        <v>16590.351051828256</v>
      </c>
      <c r="G124" s="64">
        <f t="shared" ref="G124:I124" si="61">SUM(G125:G125)</f>
        <v>16590.351051828256</v>
      </c>
      <c r="H124" s="64">
        <f t="shared" si="61"/>
        <v>16590.351051828256</v>
      </c>
      <c r="I124" s="64">
        <f t="shared" si="61"/>
        <v>16590.351051828256</v>
      </c>
    </row>
    <row r="125" spans="1:9" ht="25.5" x14ac:dyDescent="0.25">
      <c r="A125" s="12"/>
      <c r="B125" s="17">
        <v>3722</v>
      </c>
      <c r="C125" s="20">
        <v>501</v>
      </c>
      <c r="D125" s="20" t="s">
        <v>125</v>
      </c>
      <c r="E125" s="131">
        <f>111655.18/7.5345</f>
        <v>14819.189063640584</v>
      </c>
      <c r="F125" s="127">
        <f>125000/7.5345</f>
        <v>16590.351051828256</v>
      </c>
      <c r="G125" s="63">
        <f t="shared" ref="G125:I125" si="62">125000/7.5345</f>
        <v>16590.351051828256</v>
      </c>
      <c r="H125" s="63">
        <f t="shared" si="62"/>
        <v>16590.351051828256</v>
      </c>
      <c r="I125" s="63">
        <f t="shared" si="62"/>
        <v>16590.351051828256</v>
      </c>
    </row>
    <row r="126" spans="1:9" ht="25.5" x14ac:dyDescent="0.25">
      <c r="A126" s="12"/>
      <c r="B126" s="17">
        <v>3722</v>
      </c>
      <c r="C126" s="70">
        <v>31</v>
      </c>
      <c r="D126" s="20" t="s">
        <v>125</v>
      </c>
      <c r="E126" s="131"/>
      <c r="F126" s="127"/>
      <c r="G126" s="63">
        <v>1500</v>
      </c>
      <c r="H126" s="63">
        <v>1500</v>
      </c>
      <c r="I126" s="63">
        <v>1500</v>
      </c>
    </row>
    <row r="127" spans="1:9" ht="38.25" x14ac:dyDescent="0.25">
      <c r="A127" s="12" t="s">
        <v>126</v>
      </c>
      <c r="B127" s="17" t="s">
        <v>127</v>
      </c>
      <c r="C127" s="20">
        <v>501</v>
      </c>
      <c r="D127" s="17"/>
      <c r="E127" s="131"/>
      <c r="F127" s="127"/>
      <c r="G127" s="63"/>
      <c r="H127" s="63"/>
      <c r="I127" s="63"/>
    </row>
    <row r="128" spans="1:9" ht="38.25" x14ac:dyDescent="0.25">
      <c r="A128" s="12"/>
      <c r="B128" s="12">
        <v>42</v>
      </c>
      <c r="C128" s="70">
        <v>501</v>
      </c>
      <c r="D128" s="70" t="s">
        <v>87</v>
      </c>
      <c r="E128" s="126">
        <f>E129</f>
        <v>7831.8003848961434</v>
      </c>
      <c r="F128" s="126">
        <f>F129</f>
        <v>7963.3685048775624</v>
      </c>
      <c r="G128" s="64">
        <f t="shared" ref="G128:I129" si="63">G129</f>
        <v>7963.3685048775624</v>
      </c>
      <c r="H128" s="64">
        <f t="shared" si="63"/>
        <v>7963.3685048775624</v>
      </c>
      <c r="I128" s="64">
        <f t="shared" si="63"/>
        <v>7963.3685048775624</v>
      </c>
    </row>
    <row r="129" spans="1:9" ht="25.5" x14ac:dyDescent="0.25">
      <c r="A129" s="12"/>
      <c r="B129" s="12">
        <v>424</v>
      </c>
      <c r="C129" s="70">
        <v>501</v>
      </c>
      <c r="D129" s="70" t="s">
        <v>129</v>
      </c>
      <c r="E129" s="126">
        <f>E130</f>
        <v>7831.8003848961434</v>
      </c>
      <c r="F129" s="126">
        <f>F130</f>
        <v>7963.3685048775624</v>
      </c>
      <c r="G129" s="64">
        <f t="shared" si="63"/>
        <v>7963.3685048775624</v>
      </c>
      <c r="H129" s="64">
        <f t="shared" si="63"/>
        <v>7963.3685048775624</v>
      </c>
      <c r="I129" s="64">
        <f t="shared" si="63"/>
        <v>7963.3685048775624</v>
      </c>
    </row>
    <row r="130" spans="1:9" x14ac:dyDescent="0.25">
      <c r="A130" s="12"/>
      <c r="B130" s="17">
        <v>4241</v>
      </c>
      <c r="C130" s="17">
        <v>501</v>
      </c>
      <c r="D130" s="17" t="s">
        <v>128</v>
      </c>
      <c r="E130" s="9">
        <f>59008.7/7.5345</f>
        <v>7831.8003848961434</v>
      </c>
      <c r="F130" s="10">
        <f>F135</f>
        <v>7963.3685048775624</v>
      </c>
      <c r="G130" s="63">
        <f>G135</f>
        <v>7963.3685048775624</v>
      </c>
      <c r="H130" s="63">
        <f>H135</f>
        <v>7963.3685048775624</v>
      </c>
      <c r="I130" s="63">
        <f>I135</f>
        <v>7963.3685048775624</v>
      </c>
    </row>
    <row r="131" spans="1:9" x14ac:dyDescent="0.25">
      <c r="A131" s="168"/>
      <c r="B131" s="169"/>
      <c r="C131" s="169"/>
      <c r="D131" s="169"/>
      <c r="E131" s="249"/>
      <c r="F131" s="250"/>
      <c r="G131" s="172"/>
      <c r="H131" s="172"/>
      <c r="I131" s="172"/>
    </row>
    <row r="132" spans="1:9" ht="30" x14ac:dyDescent="0.25">
      <c r="A132" s="71"/>
      <c r="B132" s="72">
        <v>45</v>
      </c>
      <c r="C132" s="46">
        <v>11</v>
      </c>
      <c r="D132" s="73" t="s">
        <v>88</v>
      </c>
      <c r="E132" s="74">
        <v>0</v>
      </c>
      <c r="F132" s="74">
        <v>0</v>
      </c>
      <c r="G132" s="75">
        <v>10000</v>
      </c>
      <c r="H132" s="75">
        <v>10000</v>
      </c>
      <c r="I132" s="75">
        <v>10000</v>
      </c>
    </row>
    <row r="133" spans="1:9" ht="30" x14ac:dyDescent="0.25">
      <c r="A133" s="71"/>
      <c r="B133" s="71">
        <v>451</v>
      </c>
      <c r="C133" s="46">
        <v>11</v>
      </c>
      <c r="D133" s="73" t="s">
        <v>89</v>
      </c>
      <c r="E133" s="74">
        <v>0</v>
      </c>
      <c r="F133" s="74">
        <v>0</v>
      </c>
      <c r="G133" s="75">
        <v>10000</v>
      </c>
      <c r="H133" s="75">
        <v>10000</v>
      </c>
      <c r="I133" s="75">
        <v>10000</v>
      </c>
    </row>
    <row r="134" spans="1:9" x14ac:dyDescent="0.25">
      <c r="A134" s="57"/>
      <c r="B134" s="57">
        <v>4511</v>
      </c>
      <c r="C134" s="14">
        <v>11</v>
      </c>
      <c r="D134" s="60" t="s">
        <v>85</v>
      </c>
      <c r="E134" s="58">
        <v>0</v>
      </c>
      <c r="F134" s="58">
        <v>0</v>
      </c>
      <c r="G134" s="65">
        <v>10000</v>
      </c>
      <c r="H134" s="65">
        <v>10000</v>
      </c>
      <c r="I134" s="65">
        <v>10000</v>
      </c>
    </row>
    <row r="135" spans="1:9" ht="15.75" thickBot="1" x14ac:dyDescent="0.3">
      <c r="A135" s="168"/>
      <c r="B135" s="169"/>
      <c r="C135" s="169"/>
      <c r="D135" s="169"/>
      <c r="E135" s="249"/>
      <c r="F135" s="250">
        <f>60000/7.5345</f>
        <v>7963.3685048775624</v>
      </c>
      <c r="G135" s="172">
        <f t="shared" ref="G135:I135" si="64">60000/7.5345</f>
        <v>7963.3685048775624</v>
      </c>
      <c r="H135" s="172">
        <f t="shared" si="64"/>
        <v>7963.3685048775624</v>
      </c>
      <c r="I135" s="172">
        <f t="shared" si="64"/>
        <v>7963.3685048775624</v>
      </c>
    </row>
    <row r="136" spans="1:9" ht="26.25" thickBot="1" x14ac:dyDescent="0.3">
      <c r="A136" s="315" t="s">
        <v>140</v>
      </c>
      <c r="B136" s="316"/>
      <c r="C136" s="317"/>
      <c r="D136" s="257" t="s">
        <v>141</v>
      </c>
      <c r="E136" s="258">
        <f>E145+E154+E164+E172</f>
        <v>28204.955869666199</v>
      </c>
      <c r="F136" s="258">
        <v>53491.81</v>
      </c>
      <c r="G136" s="258">
        <f>G141+G179+G195</f>
        <v>92819.624366580407</v>
      </c>
      <c r="H136" s="258">
        <v>53491.81</v>
      </c>
      <c r="I136" s="259">
        <v>53491.81</v>
      </c>
    </row>
    <row r="137" spans="1:9" x14ac:dyDescent="0.25">
      <c r="A137" s="251"/>
      <c r="B137" s="252"/>
      <c r="C137" s="253"/>
      <c r="D137" s="254"/>
      <c r="E137" s="255"/>
      <c r="F137" s="255"/>
      <c r="G137" s="256"/>
      <c r="H137" s="256"/>
      <c r="I137" s="256"/>
    </row>
    <row r="138" spans="1:9" x14ac:dyDescent="0.25">
      <c r="A138" s="115"/>
      <c r="B138" s="116"/>
      <c r="C138" s="117"/>
      <c r="D138" s="89"/>
      <c r="E138" s="125"/>
      <c r="F138" s="125"/>
      <c r="G138" s="78"/>
      <c r="H138" s="78"/>
      <c r="I138" s="78"/>
    </row>
    <row r="139" spans="1:9" x14ac:dyDescent="0.25">
      <c r="A139" s="298" t="s">
        <v>146</v>
      </c>
      <c r="B139" s="299"/>
      <c r="C139" s="300"/>
      <c r="D139" s="150" t="s">
        <v>147</v>
      </c>
      <c r="E139" s="131"/>
      <c r="F139" s="131"/>
      <c r="G139" s="61"/>
      <c r="H139" s="61"/>
      <c r="I139" s="61"/>
    </row>
    <row r="140" spans="1:9" x14ac:dyDescent="0.25">
      <c r="A140" s="91"/>
      <c r="B140" s="92"/>
      <c r="C140" s="93">
        <v>54</v>
      </c>
      <c r="D140" s="94"/>
      <c r="E140" s="131"/>
      <c r="F140" s="131"/>
      <c r="G140" s="61"/>
      <c r="H140" s="61"/>
      <c r="I140" s="61"/>
    </row>
    <row r="141" spans="1:9" x14ac:dyDescent="0.25">
      <c r="A141" s="91"/>
      <c r="B141" s="92">
        <v>3222</v>
      </c>
      <c r="C141" s="93"/>
      <c r="D141" s="94" t="s">
        <v>136</v>
      </c>
      <c r="E141" s="131">
        <f>13785.07/7.5345</f>
        <v>1829.5932045922091</v>
      </c>
      <c r="F141" s="131">
        <f>26508/7.5345</f>
        <v>3518.2162054549071</v>
      </c>
      <c r="G141" s="61">
        <f>26508/7.5345</f>
        <v>3518.2162054549071</v>
      </c>
      <c r="H141" s="61">
        <f t="shared" ref="H141:I141" si="65">26508/7.5345</f>
        <v>3518.2162054549071</v>
      </c>
      <c r="I141" s="61">
        <f t="shared" si="65"/>
        <v>3518.2162054549071</v>
      </c>
    </row>
    <row r="142" spans="1:9" x14ac:dyDescent="0.25">
      <c r="D142" s="149"/>
    </row>
    <row r="143" spans="1:9" x14ac:dyDescent="0.25">
      <c r="A143" s="298" t="s">
        <v>142</v>
      </c>
      <c r="B143" s="299"/>
      <c r="C143" s="300"/>
      <c r="D143" s="150" t="s">
        <v>143</v>
      </c>
      <c r="E143" s="131"/>
      <c r="F143" s="131"/>
      <c r="G143" s="88"/>
      <c r="H143" s="61"/>
      <c r="I143" s="61"/>
    </row>
    <row r="144" spans="1:9" x14ac:dyDescent="0.25">
      <c r="A144" s="295">
        <v>54</v>
      </c>
      <c r="B144" s="296"/>
      <c r="C144" s="297"/>
      <c r="D144" s="94" t="s">
        <v>144</v>
      </c>
      <c r="E144" s="131"/>
      <c r="F144" s="131"/>
      <c r="G144" s="61"/>
      <c r="H144" s="61"/>
      <c r="I144" s="61"/>
    </row>
    <row r="145" spans="1:9" x14ac:dyDescent="0.25">
      <c r="A145" s="301">
        <v>3</v>
      </c>
      <c r="B145" s="302"/>
      <c r="C145" s="303"/>
      <c r="D145" s="94" t="s">
        <v>22</v>
      </c>
      <c r="E145" s="132">
        <f>E146+E141</f>
        <v>12440.780410113477</v>
      </c>
      <c r="F145" s="132">
        <f>F146+F141</f>
        <v>14698.993961112217</v>
      </c>
      <c r="G145" s="62"/>
      <c r="H145" s="62"/>
      <c r="I145" s="62"/>
    </row>
    <row r="146" spans="1:9" x14ac:dyDescent="0.25">
      <c r="A146" s="304">
        <v>311</v>
      </c>
      <c r="B146" s="305"/>
      <c r="C146" s="306"/>
      <c r="D146" s="94" t="s">
        <v>23</v>
      </c>
      <c r="E146" s="132">
        <f>SUM(E147:E150)</f>
        <v>10611.187205521268</v>
      </c>
      <c r="F146" s="132">
        <f t="shared" ref="F146" si="66">SUM(F147:F150)</f>
        <v>11180.777755657309</v>
      </c>
      <c r="G146" s="62"/>
      <c r="H146" s="62"/>
      <c r="I146" s="62"/>
    </row>
    <row r="147" spans="1:9" x14ac:dyDescent="0.25">
      <c r="A147" s="91"/>
      <c r="B147" s="92">
        <v>3111</v>
      </c>
      <c r="C147" s="93"/>
      <c r="D147" s="94" t="s">
        <v>110</v>
      </c>
      <c r="E147" s="131">
        <f>55968.75/7.5345</f>
        <v>7428.3296834561015</v>
      </c>
      <c r="F147" s="131">
        <f>62568.75/7.5345</f>
        <v>8304.3002189926337</v>
      </c>
      <c r="G147" s="61"/>
      <c r="H147" s="61"/>
      <c r="I147" s="61"/>
    </row>
    <row r="148" spans="1:9" x14ac:dyDescent="0.25">
      <c r="A148" s="91"/>
      <c r="B148" s="92">
        <v>3121</v>
      </c>
      <c r="C148" s="93"/>
      <c r="D148" s="94" t="s">
        <v>111</v>
      </c>
      <c r="E148" s="131">
        <f>7500/7.5345</f>
        <v>995.4210631096953</v>
      </c>
      <c r="F148" s="131">
        <f>4500/7.5345</f>
        <v>597.25263786581718</v>
      </c>
      <c r="G148" s="61"/>
      <c r="H148" s="61"/>
      <c r="I148" s="61"/>
    </row>
    <row r="149" spans="1:9" ht="25.5" x14ac:dyDescent="0.25">
      <c r="A149" s="91"/>
      <c r="B149" s="92">
        <v>3132</v>
      </c>
      <c r="C149" s="93"/>
      <c r="D149" s="94" t="s">
        <v>145</v>
      </c>
      <c r="E149" s="131">
        <f>9234.87/7.5345</f>
        <v>1225.6778817439777</v>
      </c>
      <c r="F149" s="131">
        <f>9191.64/7.5345</f>
        <v>1219.9402747362133</v>
      </c>
      <c r="G149" s="61"/>
      <c r="H149" s="61"/>
      <c r="I149" s="61"/>
    </row>
    <row r="150" spans="1:9" x14ac:dyDescent="0.25">
      <c r="A150" s="91"/>
      <c r="B150" s="92">
        <v>3212</v>
      </c>
      <c r="C150" s="93"/>
      <c r="D150" s="94" t="s">
        <v>64</v>
      </c>
      <c r="E150" s="131">
        <f>7246.37/7.5345</f>
        <v>961.75857721149373</v>
      </c>
      <c r="F150" s="131">
        <f>7981.18/7.5345</f>
        <v>1059.2846240626452</v>
      </c>
      <c r="G150" s="61"/>
      <c r="H150" s="61"/>
      <c r="I150" s="61"/>
    </row>
    <row r="151" spans="1:9" x14ac:dyDescent="0.25">
      <c r="A151" s="91"/>
      <c r="B151" s="92"/>
      <c r="C151" s="93"/>
      <c r="D151" s="94"/>
      <c r="E151" s="131"/>
      <c r="F151" s="131"/>
      <c r="G151" s="61"/>
      <c r="H151" s="61"/>
      <c r="I151" s="61"/>
    </row>
    <row r="152" spans="1:9" x14ac:dyDescent="0.25">
      <c r="A152" s="298" t="s">
        <v>148</v>
      </c>
      <c r="B152" s="299"/>
      <c r="C152" s="300"/>
      <c r="D152" s="150" t="s">
        <v>149</v>
      </c>
      <c r="E152" s="131"/>
      <c r="F152" s="131"/>
      <c r="G152" s="61"/>
      <c r="H152" s="61"/>
      <c r="I152" s="61"/>
    </row>
    <row r="153" spans="1:9" x14ac:dyDescent="0.25">
      <c r="A153" s="91"/>
      <c r="B153" s="92"/>
      <c r="C153" s="93">
        <v>54</v>
      </c>
      <c r="D153" s="94"/>
      <c r="E153" s="131"/>
      <c r="F153" s="131"/>
      <c r="G153" s="61"/>
      <c r="H153" s="61"/>
      <c r="I153" s="61"/>
    </row>
    <row r="154" spans="1:9" x14ac:dyDescent="0.25">
      <c r="A154" s="304">
        <v>311</v>
      </c>
      <c r="B154" s="305"/>
      <c r="C154" s="306"/>
      <c r="D154" s="94" t="s">
        <v>23</v>
      </c>
      <c r="E154" s="132">
        <f>SUM(E155:E159)</f>
        <v>3782.0810936359412</v>
      </c>
      <c r="F154" s="132">
        <f>SUM(F155:F159)</f>
        <v>34984.99303205256</v>
      </c>
      <c r="G154" s="62"/>
      <c r="H154" s="62"/>
      <c r="I154" s="62"/>
    </row>
    <row r="155" spans="1:9" x14ac:dyDescent="0.25">
      <c r="A155" s="91"/>
      <c r="B155" s="92">
        <v>3111</v>
      </c>
      <c r="C155" s="93"/>
      <c r="D155" s="94" t="s">
        <v>110</v>
      </c>
      <c r="E155" s="131">
        <f>20248.44/7.5345</f>
        <v>2687.4298228150506</v>
      </c>
      <c r="F155" s="131">
        <f>199031.25/7.5345</f>
        <v>26415.98646227354</v>
      </c>
      <c r="G155" s="61"/>
      <c r="H155" s="61"/>
      <c r="I155" s="61"/>
    </row>
    <row r="156" spans="1:9" x14ac:dyDescent="0.25">
      <c r="A156" s="91"/>
      <c r="B156" s="92">
        <v>3121</v>
      </c>
      <c r="C156" s="93"/>
      <c r="D156" s="94" t="s">
        <v>111</v>
      </c>
      <c r="E156" s="131">
        <f>1800/7.5345</f>
        <v>238.90105514632688</v>
      </c>
      <c r="F156" s="131">
        <f>13000/7.5345</f>
        <v>1725.3965093901386</v>
      </c>
      <c r="G156" s="61"/>
      <c r="H156" s="61"/>
      <c r="I156" s="61"/>
    </row>
    <row r="157" spans="1:9" ht="25.5" x14ac:dyDescent="0.25">
      <c r="A157" s="91"/>
      <c r="B157" s="92">
        <v>3132</v>
      </c>
      <c r="C157" s="93"/>
      <c r="D157" s="94" t="s">
        <v>145</v>
      </c>
      <c r="E157" s="131">
        <f>3340.99/7.5345</f>
        <v>443.42557568518146</v>
      </c>
      <c r="F157" s="131">
        <f>25508.36/7.5345</f>
        <v>3385.5411772513107</v>
      </c>
      <c r="G157" s="61"/>
      <c r="H157" s="61"/>
      <c r="I157" s="61"/>
    </row>
    <row r="158" spans="1:9" x14ac:dyDescent="0.25">
      <c r="A158" s="91"/>
      <c r="B158" s="92">
        <v>3211</v>
      </c>
      <c r="C158" s="93"/>
      <c r="D158" s="94" t="s">
        <v>63</v>
      </c>
      <c r="E158" s="131"/>
      <c r="F158" s="131">
        <f>800/7.5345</f>
        <v>106.17824673170084</v>
      </c>
      <c r="G158" s="61"/>
      <c r="H158" s="61"/>
      <c r="I158" s="61"/>
    </row>
    <row r="159" spans="1:9" x14ac:dyDescent="0.25">
      <c r="A159" s="91"/>
      <c r="B159" s="92">
        <v>3212</v>
      </c>
      <c r="C159" s="93"/>
      <c r="D159" s="94" t="s">
        <v>64</v>
      </c>
      <c r="E159" s="131">
        <f>3106.66/7.5345</f>
        <v>412.32463998938215</v>
      </c>
      <c r="F159" s="131">
        <f>25254.82/7.5345</f>
        <v>3351.8906364058662</v>
      </c>
      <c r="G159" s="61"/>
      <c r="H159" s="61"/>
      <c r="I159" s="61"/>
    </row>
    <row r="160" spans="1:9" x14ac:dyDescent="0.25">
      <c r="A160" s="115"/>
      <c r="B160" s="116"/>
      <c r="C160" s="117"/>
      <c r="D160" s="89"/>
      <c r="E160" s="125"/>
      <c r="F160" s="125"/>
      <c r="G160" s="78"/>
      <c r="H160" s="78"/>
      <c r="I160" s="78"/>
    </row>
    <row r="161" spans="1:9" x14ac:dyDescent="0.25">
      <c r="A161" s="298" t="s">
        <v>142</v>
      </c>
      <c r="B161" s="299"/>
      <c r="C161" s="300"/>
      <c r="D161" s="150" t="s">
        <v>143</v>
      </c>
      <c r="E161" s="131"/>
      <c r="F161" s="131"/>
      <c r="G161" s="9"/>
      <c r="H161" s="9"/>
      <c r="I161" s="9"/>
    </row>
    <row r="162" spans="1:9" x14ac:dyDescent="0.25">
      <c r="A162" s="295">
        <v>13</v>
      </c>
      <c r="B162" s="296"/>
      <c r="C162" s="297"/>
      <c r="D162" s="94" t="s">
        <v>150</v>
      </c>
      <c r="E162" s="131"/>
      <c r="F162" s="131"/>
      <c r="G162" s="9"/>
      <c r="H162" s="9"/>
      <c r="I162" s="9"/>
    </row>
    <row r="163" spans="1:9" x14ac:dyDescent="0.25">
      <c r="A163" s="298"/>
      <c r="B163" s="299"/>
      <c r="C163" s="300"/>
      <c r="D163" s="150"/>
      <c r="E163" s="131"/>
      <c r="F163" s="183"/>
      <c r="G163" s="9"/>
      <c r="H163" s="9"/>
      <c r="I163" s="9"/>
    </row>
    <row r="164" spans="1:9" x14ac:dyDescent="0.25">
      <c r="A164" s="301">
        <v>3</v>
      </c>
      <c r="B164" s="302"/>
      <c r="C164" s="303"/>
      <c r="D164" s="94" t="s">
        <v>22</v>
      </c>
      <c r="E164" s="132">
        <f>E165</f>
        <v>9235.5989116729706</v>
      </c>
      <c r="F164" s="185">
        <f>F165</f>
        <v>3807.8173734156217</v>
      </c>
      <c r="G164" s="62"/>
      <c r="H164" s="62"/>
      <c r="I164" s="62"/>
    </row>
    <row r="165" spans="1:9" x14ac:dyDescent="0.25">
      <c r="A165" s="304">
        <v>311</v>
      </c>
      <c r="B165" s="305"/>
      <c r="C165" s="306"/>
      <c r="D165" s="94" t="s">
        <v>23</v>
      </c>
      <c r="E165" s="132">
        <f>SUM(E166:E168)</f>
        <v>9235.5989116729706</v>
      </c>
      <c r="F165" s="185">
        <f>SUM(F166:F168)</f>
        <v>3807.8173734156217</v>
      </c>
      <c r="G165" s="62"/>
      <c r="H165" s="62"/>
      <c r="I165" s="62"/>
    </row>
    <row r="166" spans="1:9" x14ac:dyDescent="0.25">
      <c r="A166" s="91"/>
      <c r="B166" s="92">
        <v>3111</v>
      </c>
      <c r="C166" s="93"/>
      <c r="D166" s="94" t="s">
        <v>110</v>
      </c>
      <c r="E166" s="131">
        <f>53851.56/7.5345</f>
        <v>7147.3302807087393</v>
      </c>
      <c r="F166" s="186">
        <f>20950/7.5345</f>
        <v>2780.5428362864159</v>
      </c>
      <c r="G166" s="61"/>
      <c r="H166" s="61"/>
      <c r="I166" s="61"/>
    </row>
    <row r="167" spans="1:9" ht="25.5" x14ac:dyDescent="0.25">
      <c r="A167" s="91"/>
      <c r="B167" s="92">
        <v>3132</v>
      </c>
      <c r="C167" s="93"/>
      <c r="D167" s="94" t="s">
        <v>145</v>
      </c>
      <c r="E167" s="131">
        <f>8885.51/7.5345</f>
        <v>1179.3098413962439</v>
      </c>
      <c r="F167" s="186">
        <f>3500/7.5345</f>
        <v>464.52982945119118</v>
      </c>
      <c r="G167" s="61"/>
      <c r="H167" s="61"/>
      <c r="I167" s="61"/>
    </row>
    <row r="168" spans="1:9" x14ac:dyDescent="0.25">
      <c r="A168" s="91"/>
      <c r="B168" s="92">
        <v>3212</v>
      </c>
      <c r="C168" s="93"/>
      <c r="D168" s="94" t="s">
        <v>64</v>
      </c>
      <c r="E168" s="131">
        <f>6848.55/7.5345</f>
        <v>908.9587895679872</v>
      </c>
      <c r="F168" s="186">
        <f>4240/7.5345</f>
        <v>562.74470767801438</v>
      </c>
      <c r="G168" s="61"/>
      <c r="H168" s="61"/>
      <c r="I168" s="61"/>
    </row>
    <row r="169" spans="1:9" x14ac:dyDescent="0.25">
      <c r="A169" s="115"/>
      <c r="B169" s="116"/>
      <c r="C169" s="117"/>
      <c r="D169" s="89"/>
      <c r="E169" s="125"/>
      <c r="F169" s="184"/>
      <c r="G169" s="78"/>
      <c r="H169" s="78"/>
      <c r="I169" s="78"/>
    </row>
    <row r="170" spans="1:9" x14ac:dyDescent="0.25">
      <c r="A170" s="298" t="s">
        <v>148</v>
      </c>
      <c r="B170" s="299"/>
      <c r="C170" s="300"/>
      <c r="D170" s="150" t="s">
        <v>149</v>
      </c>
      <c r="E170" s="131"/>
      <c r="F170" s="131"/>
      <c r="G170" s="61"/>
      <c r="H170" s="61"/>
      <c r="I170" s="61"/>
    </row>
    <row r="171" spans="1:9" x14ac:dyDescent="0.25">
      <c r="A171" s="91"/>
      <c r="B171" s="92"/>
      <c r="C171" s="93">
        <v>13</v>
      </c>
      <c r="D171" s="94" t="s">
        <v>150</v>
      </c>
      <c r="E171" s="131"/>
      <c r="F171" s="131"/>
      <c r="G171" s="61"/>
      <c r="H171" s="61"/>
      <c r="I171" s="61"/>
    </row>
    <row r="172" spans="1:9" x14ac:dyDescent="0.25">
      <c r="A172" s="304">
        <v>311</v>
      </c>
      <c r="B172" s="305"/>
      <c r="C172" s="306"/>
      <c r="D172" s="94" t="s">
        <v>23</v>
      </c>
      <c r="E172" s="132">
        <f>SUM(E173:E176)</f>
        <v>2746.4954542438118</v>
      </c>
      <c r="F172" s="132"/>
      <c r="G172" s="62"/>
      <c r="H172" s="62"/>
      <c r="I172" s="62"/>
    </row>
    <row r="173" spans="1:9" x14ac:dyDescent="0.25">
      <c r="A173" s="91"/>
      <c r="B173" s="92">
        <v>3111</v>
      </c>
      <c r="C173" s="93"/>
      <c r="D173" s="94" t="s">
        <v>110</v>
      </c>
      <c r="E173" s="131">
        <f>11281.25/7.5345</f>
        <v>1497.2791824275</v>
      </c>
      <c r="F173" s="131"/>
      <c r="G173" s="61"/>
      <c r="H173" s="61"/>
      <c r="I173" s="61"/>
    </row>
    <row r="174" spans="1:9" x14ac:dyDescent="0.25">
      <c r="A174" s="91"/>
      <c r="B174" s="92">
        <v>3121</v>
      </c>
      <c r="C174" s="93"/>
      <c r="D174" s="94" t="s">
        <v>111</v>
      </c>
      <c r="E174" s="131">
        <f>6000/7.5345</f>
        <v>796.33685048775624</v>
      </c>
      <c r="F174" s="131"/>
      <c r="G174" s="61"/>
      <c r="H174" s="61"/>
      <c r="I174" s="61"/>
    </row>
    <row r="175" spans="1:9" ht="25.5" x14ac:dyDescent="0.25">
      <c r="A175" s="91"/>
      <c r="B175" s="92">
        <v>3132</v>
      </c>
      <c r="C175" s="93"/>
      <c r="D175" s="94" t="s">
        <v>145</v>
      </c>
      <c r="E175" s="131">
        <f>2112.22/7.5345</f>
        <v>280.3397703895414</v>
      </c>
      <c r="F175" s="131"/>
      <c r="G175" s="61"/>
      <c r="H175" s="61"/>
      <c r="I175" s="61"/>
    </row>
    <row r="176" spans="1:9" x14ac:dyDescent="0.25">
      <c r="A176" s="91"/>
      <c r="B176" s="92">
        <v>3212</v>
      </c>
      <c r="C176" s="93"/>
      <c r="D176" s="94" t="s">
        <v>64</v>
      </c>
      <c r="E176" s="131">
        <f>1300/7.5345</f>
        <v>172.53965093901385</v>
      </c>
      <c r="F176" s="131"/>
      <c r="G176" s="61"/>
      <c r="H176" s="61"/>
      <c r="I176" s="61"/>
    </row>
    <row r="177" spans="1:9" x14ac:dyDescent="0.25">
      <c r="A177" s="115"/>
      <c r="B177" s="116"/>
      <c r="C177" s="117"/>
      <c r="D177" s="89"/>
      <c r="E177" s="125"/>
      <c r="F177" s="125"/>
      <c r="G177" s="78"/>
      <c r="H177" s="78"/>
      <c r="I177" s="78"/>
    </row>
    <row r="178" spans="1:9" ht="15.75" thickBot="1" x14ac:dyDescent="0.3">
      <c r="A178" s="135"/>
      <c r="B178" s="136"/>
      <c r="C178" s="137"/>
      <c r="D178" s="151"/>
      <c r="E178" s="138"/>
      <c r="F178" s="138"/>
      <c r="G178" s="139"/>
      <c r="H178" s="139"/>
      <c r="I178" s="139"/>
    </row>
    <row r="179" spans="1:9" ht="16.5" thickTop="1" thickBot="1" x14ac:dyDescent="0.3">
      <c r="A179" s="312" t="s">
        <v>186</v>
      </c>
      <c r="B179" s="313"/>
      <c r="C179" s="314"/>
      <c r="D179" s="246" t="s">
        <v>157</v>
      </c>
      <c r="E179" s="247"/>
      <c r="F179" s="247"/>
      <c r="G179" s="248">
        <f>G181+G186</f>
        <v>52580.758161125501</v>
      </c>
      <c r="H179" s="248">
        <f t="shared" ref="H179:I179" si="67">H181+H186</f>
        <v>52580.758161125501</v>
      </c>
      <c r="I179" s="248">
        <f t="shared" si="67"/>
        <v>52580.758161125501</v>
      </c>
    </row>
    <row r="180" spans="1:9" ht="15.75" thickTop="1" x14ac:dyDescent="0.25">
      <c r="A180" s="235"/>
      <c r="B180" s="236"/>
      <c r="C180" s="234">
        <v>11</v>
      </c>
      <c r="D180" s="234"/>
      <c r="E180" s="230"/>
      <c r="F180" s="230"/>
      <c r="G180" s="231"/>
      <c r="H180" s="231"/>
      <c r="I180" s="231"/>
    </row>
    <row r="181" spans="1:9" x14ac:dyDescent="0.25">
      <c r="A181" s="190"/>
      <c r="B181" s="191"/>
      <c r="C181" s="210">
        <v>11</v>
      </c>
      <c r="D181" s="94" t="s">
        <v>184</v>
      </c>
      <c r="E181" s="62"/>
      <c r="F181" s="62">
        <f t="shared" ref="F181" si="68">F182</f>
        <v>0</v>
      </c>
      <c r="G181" s="62">
        <f>G182</f>
        <v>2554.09</v>
      </c>
      <c r="H181" s="62">
        <f t="shared" ref="H181:I181" si="69">H182</f>
        <v>2554.09</v>
      </c>
      <c r="I181" s="62">
        <f t="shared" si="69"/>
        <v>2554.09</v>
      </c>
    </row>
    <row r="182" spans="1:9" x14ac:dyDescent="0.25">
      <c r="A182" s="304">
        <v>311</v>
      </c>
      <c r="B182" s="305"/>
      <c r="C182" s="306"/>
      <c r="D182" s="94" t="s">
        <v>23</v>
      </c>
      <c r="E182" s="132"/>
      <c r="F182" s="132"/>
      <c r="G182" s="62">
        <f>SUM(G183:G184)</f>
        <v>2554.09</v>
      </c>
      <c r="H182" s="62">
        <f t="shared" ref="H182:I182" si="70">SUM(H183:H184)</f>
        <v>2554.09</v>
      </c>
      <c r="I182" s="62">
        <f t="shared" si="70"/>
        <v>2554.09</v>
      </c>
    </row>
    <row r="183" spans="1:9" x14ac:dyDescent="0.25">
      <c r="A183" s="190"/>
      <c r="B183" s="191">
        <v>3111</v>
      </c>
      <c r="C183" s="192"/>
      <c r="D183" s="94" t="s">
        <v>110</v>
      </c>
      <c r="E183" s="131"/>
      <c r="F183" s="131"/>
      <c r="G183" s="61">
        <v>2250.0500000000002</v>
      </c>
      <c r="H183" s="61">
        <v>2250.0500000000002</v>
      </c>
      <c r="I183" s="61">
        <v>2250.0500000000002</v>
      </c>
    </row>
    <row r="184" spans="1:9" ht="25.5" x14ac:dyDescent="0.25">
      <c r="A184" s="190"/>
      <c r="B184" s="191">
        <v>3132</v>
      </c>
      <c r="C184" s="192"/>
      <c r="D184" s="94" t="s">
        <v>145</v>
      </c>
      <c r="E184" s="131"/>
      <c r="F184" s="131"/>
      <c r="G184" s="61">
        <v>304.04000000000002</v>
      </c>
      <c r="H184" s="61">
        <v>304.04000000000002</v>
      </c>
      <c r="I184" s="61">
        <v>304.04000000000002</v>
      </c>
    </row>
    <row r="185" spans="1:9" x14ac:dyDescent="0.25">
      <c r="A185" s="187"/>
      <c r="B185" s="188"/>
      <c r="C185" s="189"/>
      <c r="D185" s="150"/>
      <c r="E185" s="131"/>
      <c r="F185" s="131"/>
      <c r="G185" s="61"/>
      <c r="H185" s="61"/>
      <c r="I185" s="61"/>
    </row>
    <row r="186" spans="1:9" x14ac:dyDescent="0.25">
      <c r="A186" s="91"/>
      <c r="B186" s="92"/>
      <c r="C186" s="93">
        <v>54</v>
      </c>
      <c r="D186" s="94"/>
      <c r="E186" s="62"/>
      <c r="F186" s="62">
        <f t="shared" ref="F186" si="71">F187</f>
        <v>0</v>
      </c>
      <c r="G186" s="62">
        <f>G187</f>
        <v>50026.668161125497</v>
      </c>
      <c r="H186" s="62">
        <f t="shared" ref="H186:I186" si="72">H187</f>
        <v>50026.668161125497</v>
      </c>
      <c r="I186" s="62">
        <f t="shared" si="72"/>
        <v>50026.668161125497</v>
      </c>
    </row>
    <row r="187" spans="1:9" x14ac:dyDescent="0.25">
      <c r="A187" s="304">
        <v>311</v>
      </c>
      <c r="B187" s="305"/>
      <c r="C187" s="306"/>
      <c r="D187" s="94" t="s">
        <v>23</v>
      </c>
      <c r="E187" s="132"/>
      <c r="F187" s="132"/>
      <c r="G187" s="62">
        <f>SUM(G188:G192)</f>
        <v>50026.668161125497</v>
      </c>
      <c r="H187" s="62">
        <f t="shared" ref="H187:I187" si="73">SUM(H188:H192)</f>
        <v>50026.668161125497</v>
      </c>
      <c r="I187" s="62">
        <f t="shared" si="73"/>
        <v>50026.668161125497</v>
      </c>
    </row>
    <row r="188" spans="1:9" x14ac:dyDescent="0.25">
      <c r="A188" s="91"/>
      <c r="B188" s="92">
        <v>3111</v>
      </c>
      <c r="C188" s="93"/>
      <c r="D188" s="94" t="s">
        <v>110</v>
      </c>
      <c r="E188" s="131"/>
      <c r="F188" s="131"/>
      <c r="G188" s="61">
        <f>282550/7.5345</f>
        <v>37500.829517552593</v>
      </c>
      <c r="H188" s="61">
        <f t="shared" ref="H188:I188" si="74">282550/7.5345</f>
        <v>37500.829517552593</v>
      </c>
      <c r="I188" s="61">
        <f t="shared" si="74"/>
        <v>37500.829517552593</v>
      </c>
    </row>
    <row r="189" spans="1:9" x14ac:dyDescent="0.25">
      <c r="A189" s="91"/>
      <c r="B189" s="92">
        <v>3121</v>
      </c>
      <c r="C189" s="93"/>
      <c r="D189" s="94" t="s">
        <v>111</v>
      </c>
      <c r="E189" s="131"/>
      <c r="F189" s="131"/>
      <c r="G189" s="61">
        <f>17500/7.5345</f>
        <v>2322.649147255956</v>
      </c>
      <c r="H189" s="61">
        <f t="shared" ref="H189:I189" si="75">17500/7.5345</f>
        <v>2322.649147255956</v>
      </c>
      <c r="I189" s="61">
        <f t="shared" si="75"/>
        <v>2322.649147255956</v>
      </c>
    </row>
    <row r="190" spans="1:9" ht="25.5" x14ac:dyDescent="0.25">
      <c r="A190" s="91"/>
      <c r="B190" s="92">
        <v>3132</v>
      </c>
      <c r="C190" s="93"/>
      <c r="D190" s="94" t="s">
        <v>145</v>
      </c>
      <c r="E190" s="131"/>
      <c r="F190" s="131"/>
      <c r="G190" s="61">
        <f>38200/7.5345</f>
        <v>5070.0112814387148</v>
      </c>
      <c r="H190" s="61">
        <f t="shared" ref="H190:I190" si="76">38200/7.5345</f>
        <v>5070.0112814387148</v>
      </c>
      <c r="I190" s="61">
        <f t="shared" si="76"/>
        <v>5070.0112814387148</v>
      </c>
    </row>
    <row r="191" spans="1:9" x14ac:dyDescent="0.25">
      <c r="A191" s="135"/>
      <c r="B191" s="136">
        <v>3211</v>
      </c>
      <c r="C191" s="137"/>
      <c r="D191" s="151" t="s">
        <v>197</v>
      </c>
      <c r="E191" s="138"/>
      <c r="F191" s="138"/>
      <c r="G191" s="139">
        <v>53.08</v>
      </c>
      <c r="H191" s="139">
        <v>53.08</v>
      </c>
      <c r="I191" s="139">
        <v>53.08</v>
      </c>
    </row>
    <row r="192" spans="1:9" x14ac:dyDescent="0.25">
      <c r="A192" s="135"/>
      <c r="B192" s="136">
        <v>3212</v>
      </c>
      <c r="C192" s="137"/>
      <c r="D192" s="151" t="s">
        <v>64</v>
      </c>
      <c r="E192" s="138"/>
      <c r="F192" s="138"/>
      <c r="G192" s="139">
        <f>38276/7.5345</f>
        <v>5080.0982148782268</v>
      </c>
      <c r="H192" s="139">
        <f t="shared" ref="H192:I192" si="77">38276/7.5345</f>
        <v>5080.0982148782268</v>
      </c>
      <c r="I192" s="139">
        <f t="shared" si="77"/>
        <v>5080.0982148782268</v>
      </c>
    </row>
    <row r="193" spans="1:11" x14ac:dyDescent="0.25">
      <c r="A193" s="115"/>
      <c r="B193" s="116"/>
      <c r="C193" s="117"/>
      <c r="D193" s="89"/>
      <c r="E193" s="125"/>
      <c r="F193" s="125"/>
      <c r="G193" s="78"/>
      <c r="H193" s="78"/>
      <c r="I193" s="78"/>
      <c r="J193" s="121"/>
      <c r="K193" s="121"/>
    </row>
    <row r="194" spans="1:11" ht="15.75" thickBot="1" x14ac:dyDescent="0.3">
      <c r="A194" s="135"/>
      <c r="B194" s="136"/>
      <c r="C194" s="137"/>
      <c r="D194" s="151"/>
      <c r="E194" s="138"/>
      <c r="F194" s="138"/>
      <c r="G194" s="139"/>
      <c r="H194" s="139"/>
      <c r="I194" s="139"/>
      <c r="J194" s="121"/>
      <c r="K194" s="121"/>
    </row>
    <row r="195" spans="1:11" ht="27" thickTop="1" thickBot="1" x14ac:dyDescent="0.3">
      <c r="A195" s="312" t="s">
        <v>196</v>
      </c>
      <c r="B195" s="313"/>
      <c r="C195" s="314"/>
      <c r="D195" s="246" t="s">
        <v>195</v>
      </c>
      <c r="E195" s="247"/>
      <c r="F195" s="247"/>
      <c r="G195" s="248">
        <f>G197+G202</f>
        <v>36720.65</v>
      </c>
      <c r="H195" s="248">
        <f>H197+H202</f>
        <v>36720.65</v>
      </c>
      <c r="I195" s="248">
        <f t="shared" ref="I195" si="78">I197+I202</f>
        <v>36720.65</v>
      </c>
      <c r="J195" s="121"/>
      <c r="K195" s="121"/>
    </row>
    <row r="196" spans="1:11" ht="15.75" thickTop="1" x14ac:dyDescent="0.25">
      <c r="A196" s="235"/>
      <c r="B196" s="236"/>
      <c r="C196" s="234">
        <v>11</v>
      </c>
      <c r="D196" s="234"/>
      <c r="E196" s="230"/>
      <c r="F196" s="230"/>
      <c r="G196" s="231"/>
      <c r="H196" s="231"/>
      <c r="I196" s="231"/>
      <c r="J196" s="121"/>
      <c r="K196" s="121"/>
    </row>
    <row r="197" spans="1:11" x14ac:dyDescent="0.25">
      <c r="A197" s="221"/>
      <c r="B197" s="222"/>
      <c r="C197" s="210">
        <v>11</v>
      </c>
      <c r="D197" s="94" t="s">
        <v>184</v>
      </c>
      <c r="E197" s="62"/>
      <c r="F197" s="62">
        <f t="shared" ref="F197" si="79">F198</f>
        <v>0</v>
      </c>
      <c r="G197" s="62">
        <f>G198</f>
        <v>0</v>
      </c>
      <c r="H197" s="62">
        <f t="shared" ref="H197:I197" si="80">H198</f>
        <v>0</v>
      </c>
      <c r="I197" s="62">
        <f t="shared" si="80"/>
        <v>0</v>
      </c>
      <c r="J197" s="121"/>
      <c r="K197" s="121"/>
    </row>
    <row r="198" spans="1:11" ht="14.45" customHeight="1" x14ac:dyDescent="0.25">
      <c r="A198" s="304">
        <v>311</v>
      </c>
      <c r="B198" s="305"/>
      <c r="C198" s="306"/>
      <c r="D198" s="94" t="s">
        <v>23</v>
      </c>
      <c r="E198" s="132"/>
      <c r="F198" s="132"/>
      <c r="G198" s="62">
        <f>SUM(G199:G200)</f>
        <v>0</v>
      </c>
      <c r="H198" s="62">
        <f t="shared" ref="H198:I198" si="81">SUM(H199:H200)</f>
        <v>0</v>
      </c>
      <c r="I198" s="62">
        <f t="shared" si="81"/>
        <v>0</v>
      </c>
      <c r="J198" s="121"/>
      <c r="K198" s="121"/>
    </row>
    <row r="199" spans="1:11" x14ac:dyDescent="0.25">
      <c r="A199" s="221"/>
      <c r="B199" s="222">
        <v>3111</v>
      </c>
      <c r="C199" s="223"/>
      <c r="D199" s="94" t="s">
        <v>110</v>
      </c>
      <c r="E199" s="131"/>
      <c r="F199" s="131"/>
      <c r="G199" s="61"/>
      <c r="H199" s="61"/>
      <c r="I199" s="61"/>
      <c r="J199" s="121"/>
      <c r="K199" s="121"/>
    </row>
    <row r="200" spans="1:11" ht="25.5" x14ac:dyDescent="0.25">
      <c r="A200" s="221"/>
      <c r="B200" s="222">
        <v>3132</v>
      </c>
      <c r="C200" s="223"/>
      <c r="D200" s="94" t="s">
        <v>145</v>
      </c>
      <c r="E200" s="131"/>
      <c r="F200" s="131"/>
      <c r="G200" s="61"/>
      <c r="H200" s="61"/>
      <c r="I200" s="61"/>
      <c r="J200" s="121"/>
      <c r="K200" s="121"/>
    </row>
    <row r="201" spans="1:11" ht="26.45" customHeight="1" x14ac:dyDescent="0.25">
      <c r="A201" s="218"/>
      <c r="B201" s="219"/>
      <c r="C201" s="220"/>
      <c r="D201" s="150"/>
      <c r="E201" s="131"/>
      <c r="F201" s="131"/>
      <c r="G201" s="61"/>
      <c r="H201" s="61"/>
      <c r="I201" s="61"/>
      <c r="J201" s="121"/>
      <c r="K201" s="121"/>
    </row>
    <row r="202" spans="1:11" ht="14.45" customHeight="1" x14ac:dyDescent="0.25">
      <c r="A202" s="221"/>
      <c r="B202" s="222"/>
      <c r="C202" s="223">
        <v>54</v>
      </c>
      <c r="D202" s="94"/>
      <c r="E202" s="62"/>
      <c r="F202" s="62">
        <f t="shared" ref="F202" si="82">F203</f>
        <v>0</v>
      </c>
      <c r="G202" s="62">
        <f>G203</f>
        <v>36720.65</v>
      </c>
      <c r="H202" s="62">
        <f t="shared" ref="H202:I202" si="83">H203</f>
        <v>36720.65</v>
      </c>
      <c r="I202" s="62">
        <f t="shared" si="83"/>
        <v>36720.65</v>
      </c>
    </row>
    <row r="203" spans="1:11" x14ac:dyDescent="0.25">
      <c r="A203" s="304">
        <v>311</v>
      </c>
      <c r="B203" s="305"/>
      <c r="C203" s="306"/>
      <c r="D203" s="94" t="s">
        <v>23</v>
      </c>
      <c r="E203" s="132"/>
      <c r="F203" s="132"/>
      <c r="G203" s="62">
        <f>SUM(G204:G208)</f>
        <v>36720.65</v>
      </c>
      <c r="H203" s="62">
        <f t="shared" ref="H203:I203" si="84">SUM(H204:H208)</f>
        <v>36720.65</v>
      </c>
      <c r="I203" s="62">
        <f t="shared" si="84"/>
        <v>36720.65</v>
      </c>
    </row>
    <row r="204" spans="1:11" x14ac:dyDescent="0.25">
      <c r="A204" s="221"/>
      <c r="B204" s="222">
        <v>3111</v>
      </c>
      <c r="C204" s="223"/>
      <c r="D204" s="94" t="s">
        <v>110</v>
      </c>
      <c r="E204" s="131"/>
      <c r="F204" s="131"/>
      <c r="G204" s="61">
        <v>29500.65</v>
      </c>
      <c r="H204" s="61">
        <v>29500.65</v>
      </c>
      <c r="I204" s="61">
        <v>29500.65</v>
      </c>
    </row>
    <row r="205" spans="1:11" x14ac:dyDescent="0.25">
      <c r="A205" s="221"/>
      <c r="B205" s="222">
        <v>3121</v>
      </c>
      <c r="C205" s="223"/>
      <c r="D205" s="94" t="s">
        <v>111</v>
      </c>
      <c r="E205" s="131"/>
      <c r="F205" s="131"/>
      <c r="G205" s="61">
        <v>3300</v>
      </c>
      <c r="H205" s="61">
        <v>3300</v>
      </c>
      <c r="I205" s="61">
        <v>3300</v>
      </c>
    </row>
    <row r="206" spans="1:11" ht="25.5" x14ac:dyDescent="0.25">
      <c r="A206" s="221"/>
      <c r="B206" s="222">
        <v>3132</v>
      </c>
      <c r="C206" s="223"/>
      <c r="D206" s="94" t="s">
        <v>145</v>
      </c>
      <c r="E206" s="131"/>
      <c r="F206" s="131"/>
      <c r="G206" s="61">
        <v>1690</v>
      </c>
      <c r="H206" s="61">
        <v>1690</v>
      </c>
      <c r="I206" s="61">
        <v>1690</v>
      </c>
    </row>
    <row r="207" spans="1:11" x14ac:dyDescent="0.25">
      <c r="A207" s="135"/>
      <c r="B207" s="136">
        <v>3211</v>
      </c>
      <c r="C207" s="137"/>
      <c r="D207" s="151" t="s">
        <v>63</v>
      </c>
      <c r="E207" s="138"/>
      <c r="F207" s="138"/>
      <c r="G207" s="139">
        <v>530</v>
      </c>
      <c r="H207" s="139">
        <v>530</v>
      </c>
      <c r="I207" s="139">
        <v>530</v>
      </c>
    </row>
    <row r="208" spans="1:11" x14ac:dyDescent="0.25">
      <c r="A208" s="135"/>
      <c r="B208" s="136">
        <v>3212</v>
      </c>
      <c r="C208" s="137"/>
      <c r="D208" s="151" t="s">
        <v>64</v>
      </c>
      <c r="E208" s="138"/>
      <c r="F208" s="138"/>
      <c r="G208" s="139">
        <v>1700</v>
      </c>
      <c r="H208" s="139">
        <v>1700</v>
      </c>
      <c r="I208" s="139">
        <v>1700</v>
      </c>
    </row>
    <row r="212" spans="1:10" ht="14.45" customHeight="1" x14ac:dyDescent="0.25">
      <c r="A212" s="121"/>
      <c r="B212" s="121"/>
      <c r="C212" s="121"/>
      <c r="D212" s="121"/>
      <c r="E212" s="143"/>
      <c r="F212" s="143"/>
      <c r="G212" s="121"/>
      <c r="H212" s="121"/>
      <c r="I212" s="121"/>
      <c r="J212" s="121"/>
    </row>
    <row r="213" spans="1:10" x14ac:dyDescent="0.25">
      <c r="A213" s="121"/>
      <c r="B213" s="121"/>
      <c r="C213" s="121"/>
      <c r="D213" s="121"/>
      <c r="E213" s="143"/>
      <c r="F213" s="143"/>
      <c r="G213" s="121"/>
      <c r="H213" s="121"/>
      <c r="I213" s="121"/>
      <c r="J213" s="121"/>
    </row>
    <row r="214" spans="1:10" x14ac:dyDescent="0.25">
      <c r="A214" s="121"/>
      <c r="B214" s="121"/>
      <c r="C214" s="121"/>
      <c r="D214" s="121"/>
      <c r="E214" s="143"/>
      <c r="F214" s="143"/>
      <c r="G214" s="121"/>
      <c r="H214" s="121"/>
      <c r="I214" s="121"/>
      <c r="J214" s="121"/>
    </row>
    <row r="215" spans="1:10" x14ac:dyDescent="0.25">
      <c r="A215" s="144"/>
      <c r="B215" s="144"/>
      <c r="C215" s="144"/>
      <c r="D215" s="145"/>
      <c r="E215" s="128"/>
      <c r="F215" s="128"/>
      <c r="G215" s="124"/>
      <c r="H215" s="124"/>
      <c r="I215" s="124"/>
      <c r="J215" s="121"/>
    </row>
    <row r="216" spans="1:10" ht="14.45" customHeight="1" x14ac:dyDescent="0.25">
      <c r="A216" s="121"/>
      <c r="B216" s="121"/>
      <c r="C216" s="121"/>
      <c r="D216" s="121"/>
      <c r="E216" s="143"/>
      <c r="F216" s="143"/>
      <c r="G216" s="121"/>
      <c r="H216" s="121"/>
      <c r="I216" s="121"/>
      <c r="J216" s="121"/>
    </row>
    <row r="217" spans="1:10" x14ac:dyDescent="0.25">
      <c r="A217" s="121"/>
      <c r="B217" s="121"/>
      <c r="C217" s="121"/>
      <c r="D217" s="121"/>
      <c r="E217" s="143"/>
      <c r="F217" s="143"/>
      <c r="G217" s="121"/>
      <c r="H217" s="121"/>
      <c r="I217" s="121"/>
      <c r="J217" s="121"/>
    </row>
    <row r="218" spans="1:10" x14ac:dyDescent="0.25">
      <c r="A218" s="121"/>
      <c r="B218" s="121"/>
      <c r="C218" s="121"/>
      <c r="D218" s="121"/>
      <c r="E218" s="143"/>
      <c r="F218" s="143"/>
      <c r="G218" s="121"/>
      <c r="H218" s="121"/>
      <c r="I218" s="121"/>
      <c r="J218" s="121"/>
    </row>
    <row r="219" spans="1:10" x14ac:dyDescent="0.25">
      <c r="A219" s="121"/>
      <c r="B219" s="121"/>
      <c r="C219" s="121"/>
      <c r="D219" s="121"/>
      <c r="E219" s="143"/>
      <c r="F219" s="143"/>
      <c r="G219" s="121"/>
      <c r="H219" s="121"/>
      <c r="I219" s="121"/>
      <c r="J219" s="121"/>
    </row>
    <row r="220" spans="1:10" x14ac:dyDescent="0.25">
      <c r="A220" s="121"/>
      <c r="B220" s="121"/>
      <c r="C220" s="121"/>
      <c r="D220" s="121"/>
      <c r="E220" s="143"/>
      <c r="F220" s="143"/>
      <c r="G220" s="121"/>
      <c r="H220" s="121"/>
      <c r="I220" s="121"/>
      <c r="J220" s="121"/>
    </row>
    <row r="221" spans="1:10" x14ac:dyDescent="0.25">
      <c r="A221" s="121"/>
      <c r="B221" s="121"/>
      <c r="C221" s="121"/>
      <c r="D221" s="121"/>
      <c r="E221" s="143"/>
      <c r="F221" s="143"/>
      <c r="G221" s="121"/>
      <c r="H221" s="121"/>
      <c r="I221" s="121"/>
      <c r="J221" s="121"/>
    </row>
    <row r="222" spans="1:10" x14ac:dyDescent="0.25">
      <c r="A222" s="121"/>
      <c r="B222" s="121"/>
      <c r="C222" s="121"/>
      <c r="D222" s="121"/>
      <c r="E222" s="143"/>
      <c r="F222" s="143"/>
      <c r="G222" s="121"/>
      <c r="H222" s="121"/>
      <c r="I222" s="121"/>
      <c r="J222" s="121"/>
    </row>
    <row r="223" spans="1:10" x14ac:dyDescent="0.25">
      <c r="A223" s="121"/>
      <c r="B223" s="121"/>
      <c r="C223" s="121"/>
      <c r="D223" s="121"/>
      <c r="E223" s="143"/>
      <c r="F223" s="143"/>
      <c r="G223" s="121"/>
      <c r="H223" s="121"/>
      <c r="I223" s="121"/>
      <c r="J223" s="121"/>
    </row>
    <row r="224" spans="1:10" x14ac:dyDescent="0.25">
      <c r="A224" s="144"/>
      <c r="B224" s="144"/>
      <c r="C224" s="144"/>
      <c r="D224" s="145"/>
      <c r="E224" s="128"/>
      <c r="F224" s="128"/>
      <c r="G224" s="53"/>
      <c r="H224" s="53"/>
      <c r="I224" s="53"/>
      <c r="J224" s="121"/>
    </row>
    <row r="225" spans="1:10" ht="14.45" customHeight="1" x14ac:dyDescent="0.25">
      <c r="A225" s="121"/>
      <c r="B225" s="121"/>
      <c r="C225" s="121"/>
      <c r="D225" s="121"/>
      <c r="E225" s="143"/>
      <c r="F225" s="143"/>
      <c r="G225" s="121"/>
      <c r="H225" s="121"/>
      <c r="I225" s="121"/>
      <c r="J225" s="121"/>
    </row>
    <row r="226" spans="1:10" x14ac:dyDescent="0.25">
      <c r="A226" s="121"/>
      <c r="B226" s="121"/>
      <c r="C226" s="121"/>
      <c r="D226" s="121"/>
      <c r="E226" s="143"/>
      <c r="F226" s="143"/>
      <c r="G226" s="121"/>
      <c r="H226" s="121"/>
      <c r="I226" s="121"/>
      <c r="J226" s="121"/>
    </row>
    <row r="227" spans="1:10" x14ac:dyDescent="0.25">
      <c r="A227" s="121"/>
      <c r="B227" s="121"/>
      <c r="C227" s="121"/>
      <c r="D227" s="121"/>
      <c r="E227" s="143"/>
      <c r="F227" s="143"/>
      <c r="G227" s="121"/>
      <c r="H227" s="121"/>
      <c r="I227" s="121"/>
      <c r="J227" s="121"/>
    </row>
    <row r="228" spans="1:10" ht="14.25" customHeight="1" x14ac:dyDescent="0.25">
      <c r="A228" s="121"/>
      <c r="B228" s="121"/>
      <c r="C228" s="121"/>
      <c r="D228" s="121"/>
      <c r="E228" s="143"/>
      <c r="F228" s="143"/>
      <c r="G228" s="121"/>
      <c r="H228" s="121"/>
      <c r="I228" s="121"/>
      <c r="J228" s="121"/>
    </row>
    <row r="229" spans="1:10" ht="15" customHeight="1" x14ac:dyDescent="0.25">
      <c r="A229" s="121"/>
      <c r="B229" s="121"/>
      <c r="C229" s="121"/>
      <c r="D229" s="121"/>
      <c r="E229" s="143"/>
      <c r="F229" s="143"/>
      <c r="G229" s="121"/>
      <c r="H229" s="121"/>
      <c r="I229" s="121"/>
      <c r="J229" s="121"/>
    </row>
    <row r="230" spans="1:10" x14ac:dyDescent="0.25">
      <c r="A230" s="121"/>
      <c r="B230" s="121"/>
      <c r="C230" s="121"/>
      <c r="D230" s="121"/>
      <c r="E230" s="143"/>
      <c r="F230" s="143"/>
      <c r="G230" s="121"/>
      <c r="H230" s="121"/>
      <c r="I230" s="121"/>
      <c r="J230" s="121"/>
    </row>
    <row r="231" spans="1:10" ht="31.9" customHeight="1" x14ac:dyDescent="0.25">
      <c r="A231" s="121"/>
      <c r="B231" s="121"/>
      <c r="C231" s="121"/>
      <c r="D231" s="121"/>
      <c r="E231" s="143"/>
      <c r="F231" s="143"/>
      <c r="G231" s="121"/>
      <c r="H231" s="121"/>
      <c r="I231" s="121"/>
      <c r="J231" s="121"/>
    </row>
    <row r="232" spans="1:10" x14ac:dyDescent="0.25">
      <c r="A232" s="121"/>
      <c r="B232" s="121"/>
      <c r="C232" s="121"/>
      <c r="D232" s="121"/>
      <c r="E232" s="143"/>
      <c r="F232" s="143"/>
      <c r="G232" s="121"/>
      <c r="H232" s="121"/>
      <c r="I232" s="121"/>
      <c r="J232" s="121"/>
    </row>
    <row r="233" spans="1:10" x14ac:dyDescent="0.25">
      <c r="A233" s="144"/>
      <c r="B233" s="144"/>
      <c r="C233" s="144"/>
      <c r="D233" s="145"/>
      <c r="E233" s="128"/>
      <c r="F233" s="128"/>
      <c r="G233" s="124"/>
      <c r="H233" s="124"/>
      <c r="I233" s="124"/>
      <c r="J233" s="121"/>
    </row>
    <row r="234" spans="1:10" x14ac:dyDescent="0.25">
      <c r="A234" s="144"/>
      <c r="B234" s="144"/>
      <c r="C234" s="144"/>
      <c r="D234" s="145"/>
      <c r="E234" s="128"/>
      <c r="F234" s="128"/>
      <c r="G234" s="124"/>
      <c r="H234" s="124"/>
      <c r="I234" s="124"/>
      <c r="J234" s="121"/>
    </row>
    <row r="235" spans="1:10" ht="14.45" customHeight="1" x14ac:dyDescent="0.25">
      <c r="A235" s="121"/>
      <c r="B235" s="121"/>
      <c r="C235" s="121"/>
      <c r="D235" s="121"/>
      <c r="E235" s="143"/>
      <c r="F235" s="143"/>
      <c r="G235" s="121"/>
      <c r="H235" s="121"/>
      <c r="I235" s="121"/>
      <c r="J235" s="121"/>
    </row>
    <row r="236" spans="1:10" x14ac:dyDescent="0.25">
      <c r="A236" s="121"/>
      <c r="B236" s="121"/>
      <c r="C236" s="121"/>
      <c r="D236" s="121"/>
      <c r="E236" s="143"/>
      <c r="F236" s="143"/>
      <c r="G236" s="121"/>
      <c r="H236" s="121"/>
      <c r="I236" s="121"/>
      <c r="J236" s="121"/>
    </row>
    <row r="237" spans="1:10" x14ac:dyDescent="0.25">
      <c r="A237" s="121"/>
      <c r="B237" s="121"/>
      <c r="C237" s="121"/>
      <c r="D237" s="121"/>
      <c r="E237" s="143"/>
      <c r="F237" s="143"/>
      <c r="G237" s="121"/>
      <c r="H237" s="121"/>
      <c r="I237" s="121"/>
      <c r="J237" s="121"/>
    </row>
    <row r="238" spans="1:10" x14ac:dyDescent="0.25">
      <c r="A238" s="121"/>
      <c r="B238" s="121"/>
      <c r="C238" s="121"/>
      <c r="D238" s="121"/>
      <c r="E238" s="143"/>
      <c r="F238" s="143"/>
      <c r="G238" s="121"/>
      <c r="H238" s="121"/>
      <c r="I238" s="121"/>
      <c r="J238" s="121"/>
    </row>
    <row r="239" spans="1:10" x14ac:dyDescent="0.25">
      <c r="A239" s="121"/>
      <c r="B239" s="121"/>
      <c r="C239" s="121"/>
      <c r="D239" s="121"/>
      <c r="E239" s="143"/>
      <c r="F239" s="143"/>
      <c r="G239" s="121"/>
      <c r="H239" s="121"/>
      <c r="I239" s="121"/>
      <c r="J239" s="121"/>
    </row>
    <row r="240" spans="1:10" x14ac:dyDescent="0.25">
      <c r="A240" s="121"/>
      <c r="B240" s="121"/>
      <c r="C240" s="121"/>
      <c r="D240" s="121"/>
      <c r="E240" s="143"/>
      <c r="F240" s="143"/>
      <c r="G240" s="121"/>
      <c r="H240" s="121"/>
      <c r="I240" s="121"/>
      <c r="J240" s="121"/>
    </row>
    <row r="241" spans="1:10" x14ac:dyDescent="0.25">
      <c r="A241" s="121"/>
      <c r="B241" s="121"/>
      <c r="C241" s="121"/>
      <c r="D241" s="121"/>
      <c r="E241" s="143"/>
      <c r="F241" s="143"/>
      <c r="G241" s="121"/>
      <c r="H241" s="121"/>
      <c r="I241" s="121"/>
      <c r="J241" s="121"/>
    </row>
    <row r="242" spans="1:10" x14ac:dyDescent="0.25">
      <c r="A242" s="144"/>
      <c r="B242" s="144"/>
      <c r="C242" s="144"/>
      <c r="D242" s="145"/>
      <c r="E242" s="128"/>
      <c r="F242" s="128"/>
      <c r="G242" s="124"/>
      <c r="H242" s="124"/>
      <c r="I242" s="124"/>
      <c r="J242" s="121"/>
    </row>
    <row r="243" spans="1:10" x14ac:dyDescent="0.25">
      <c r="A243" s="121"/>
      <c r="B243" s="121"/>
      <c r="C243" s="121"/>
      <c r="D243" s="121"/>
      <c r="E243" s="143"/>
      <c r="F243" s="143"/>
      <c r="G243" s="121"/>
      <c r="H243" s="121"/>
      <c r="I243" s="121"/>
      <c r="J243" s="121"/>
    </row>
    <row r="244" spans="1:10" ht="14.45" customHeight="1" x14ac:dyDescent="0.25">
      <c r="A244" s="121"/>
      <c r="B244" s="121"/>
      <c r="C244" s="121"/>
      <c r="D244" s="121"/>
      <c r="E244" s="143"/>
      <c r="F244" s="143"/>
      <c r="G244" s="121"/>
      <c r="H244" s="121"/>
      <c r="I244" s="121"/>
      <c r="J244" s="121"/>
    </row>
    <row r="245" spans="1:10" x14ac:dyDescent="0.25">
      <c r="A245" s="121"/>
      <c r="B245" s="121"/>
      <c r="C245" s="121"/>
      <c r="D245" s="121"/>
      <c r="E245" s="143"/>
      <c r="F245" s="143"/>
      <c r="G245" s="121"/>
      <c r="H245" s="121"/>
      <c r="I245" s="121"/>
      <c r="J245" s="121"/>
    </row>
    <row r="246" spans="1:10" x14ac:dyDescent="0.25">
      <c r="A246" s="121"/>
      <c r="B246" s="121"/>
      <c r="C246" s="121"/>
      <c r="D246" s="121"/>
      <c r="E246" s="143"/>
      <c r="F246" s="143"/>
      <c r="G246" s="121"/>
      <c r="H246" s="121"/>
      <c r="I246" s="121"/>
      <c r="J246" s="121"/>
    </row>
    <row r="247" spans="1:10" x14ac:dyDescent="0.25">
      <c r="A247" s="121"/>
      <c r="B247" s="121"/>
      <c r="C247" s="121"/>
      <c r="D247" s="121"/>
      <c r="E247" s="143"/>
      <c r="F247" s="143"/>
      <c r="G247" s="121"/>
      <c r="H247" s="121"/>
      <c r="I247" s="121"/>
      <c r="J247" s="121"/>
    </row>
    <row r="248" spans="1:10" x14ac:dyDescent="0.25">
      <c r="A248" s="121"/>
      <c r="B248" s="121"/>
      <c r="C248" s="121"/>
      <c r="D248" s="121"/>
      <c r="E248" s="143"/>
      <c r="F248" s="143"/>
      <c r="G248" s="121"/>
      <c r="H248" s="121"/>
      <c r="I248" s="121"/>
      <c r="J248" s="121"/>
    </row>
    <row r="249" spans="1:10" x14ac:dyDescent="0.25">
      <c r="A249" s="121"/>
      <c r="B249" s="121"/>
      <c r="C249" s="121"/>
      <c r="D249" s="121"/>
      <c r="E249" s="143"/>
      <c r="F249" s="143"/>
      <c r="G249" s="121"/>
      <c r="H249" s="121"/>
      <c r="I249" s="121"/>
      <c r="J249" s="121"/>
    </row>
    <row r="250" spans="1:10" x14ac:dyDescent="0.25">
      <c r="A250" s="121"/>
      <c r="B250" s="121"/>
      <c r="C250" s="121"/>
      <c r="D250" s="121"/>
      <c r="E250" s="143"/>
      <c r="F250" s="143"/>
      <c r="G250" s="121"/>
      <c r="H250" s="121"/>
      <c r="I250" s="121"/>
      <c r="J250" s="121"/>
    </row>
    <row r="251" spans="1:10" x14ac:dyDescent="0.25">
      <c r="A251" s="121"/>
      <c r="B251" s="121"/>
      <c r="C251" s="121"/>
      <c r="D251" s="121"/>
      <c r="E251" s="143"/>
      <c r="F251" s="143"/>
      <c r="G251" s="121"/>
      <c r="H251" s="121"/>
      <c r="I251" s="121"/>
      <c r="J251" s="121"/>
    </row>
    <row r="252" spans="1:10" x14ac:dyDescent="0.25">
      <c r="A252" s="121"/>
      <c r="B252" s="121"/>
      <c r="C252" s="121"/>
      <c r="D252" s="121"/>
      <c r="E252" s="143"/>
      <c r="F252" s="143"/>
      <c r="G252" s="121"/>
      <c r="H252" s="121"/>
      <c r="I252" s="121"/>
      <c r="J252" s="121"/>
    </row>
    <row r="253" spans="1:10" x14ac:dyDescent="0.25">
      <c r="A253" s="121"/>
      <c r="B253" s="121"/>
      <c r="C253" s="121"/>
      <c r="D253" s="121"/>
      <c r="E253" s="143"/>
      <c r="F253" s="143"/>
      <c r="G253" s="121"/>
      <c r="H253" s="121"/>
      <c r="I253" s="121"/>
      <c r="J253" s="121"/>
    </row>
    <row r="254" spans="1:10" x14ac:dyDescent="0.25">
      <c r="A254" s="121"/>
      <c r="B254" s="121"/>
      <c r="C254" s="121"/>
      <c r="D254" s="121"/>
      <c r="E254" s="143"/>
      <c r="F254" s="143"/>
      <c r="G254" s="121"/>
      <c r="H254" s="121"/>
      <c r="I254" s="121"/>
      <c r="J254" s="121"/>
    </row>
    <row r="255" spans="1:10" x14ac:dyDescent="0.25">
      <c r="A255" s="121"/>
      <c r="B255" s="121"/>
      <c r="C255" s="121"/>
      <c r="D255" s="121"/>
      <c r="E255" s="143"/>
      <c r="F255" s="143"/>
      <c r="G255" s="121"/>
      <c r="H255" s="121"/>
      <c r="I255" s="121"/>
      <c r="J255" s="121"/>
    </row>
    <row r="256" spans="1:10" x14ac:dyDescent="0.25">
      <c r="A256" s="121"/>
      <c r="B256" s="121"/>
      <c r="C256" s="121"/>
      <c r="D256" s="121"/>
      <c r="E256" s="143"/>
      <c r="F256" s="143"/>
      <c r="G256" s="121"/>
      <c r="H256" s="121"/>
      <c r="I256" s="121"/>
      <c r="J256" s="121"/>
    </row>
    <row r="257" spans="1:10" x14ac:dyDescent="0.25">
      <c r="A257" s="121"/>
      <c r="B257" s="121"/>
      <c r="C257" s="121"/>
      <c r="D257" s="121"/>
      <c r="E257" s="143"/>
      <c r="F257" s="143"/>
      <c r="G257" s="121"/>
      <c r="H257" s="121"/>
      <c r="I257" s="121"/>
      <c r="J257" s="121"/>
    </row>
    <row r="258" spans="1:10" x14ac:dyDescent="0.25">
      <c r="A258" s="121"/>
      <c r="B258" s="121"/>
      <c r="C258" s="121"/>
      <c r="D258" s="121"/>
      <c r="E258" s="143"/>
      <c r="F258" s="143"/>
      <c r="G258" s="121"/>
      <c r="H258" s="121"/>
      <c r="I258" s="121"/>
      <c r="J258" s="121"/>
    </row>
    <row r="259" spans="1:10" x14ac:dyDescent="0.25">
      <c r="A259" s="121"/>
      <c r="B259" s="121"/>
      <c r="C259" s="121"/>
      <c r="D259" s="121"/>
      <c r="E259" s="143"/>
      <c r="F259" s="143"/>
      <c r="G259" s="121"/>
      <c r="H259" s="121"/>
      <c r="I259" s="121"/>
      <c r="J259" s="121"/>
    </row>
    <row r="260" spans="1:10" x14ac:dyDescent="0.25">
      <c r="A260" s="121"/>
      <c r="B260" s="121"/>
      <c r="C260" s="121"/>
      <c r="D260" s="121"/>
      <c r="E260" s="143"/>
      <c r="F260" s="143"/>
      <c r="G260" s="121"/>
      <c r="H260" s="121"/>
      <c r="I260" s="121"/>
      <c r="J260" s="121"/>
    </row>
    <row r="261" spans="1:10" x14ac:dyDescent="0.25">
      <c r="A261" s="121"/>
      <c r="B261" s="121"/>
      <c r="C261" s="121"/>
      <c r="D261" s="121"/>
      <c r="E261" s="143"/>
      <c r="F261" s="143"/>
      <c r="G261" s="121"/>
      <c r="H261" s="121"/>
      <c r="I261" s="121"/>
      <c r="J261" s="121"/>
    </row>
  </sheetData>
  <mergeCells count="24">
    <mergeCell ref="A195:C195"/>
    <mergeCell ref="A198:C198"/>
    <mergeCell ref="A203:C203"/>
    <mergeCell ref="A136:C136"/>
    <mergeCell ref="A143:C143"/>
    <mergeCell ref="A162:C162"/>
    <mergeCell ref="A146:C146"/>
    <mergeCell ref="A152:C152"/>
    <mergeCell ref="A154:C154"/>
    <mergeCell ref="A161:C161"/>
    <mergeCell ref="A170:C170"/>
    <mergeCell ref="A172:C172"/>
    <mergeCell ref="A179:C179"/>
    <mergeCell ref="A187:C187"/>
    <mergeCell ref="A163:C163"/>
    <mergeCell ref="A164:C164"/>
    <mergeCell ref="A165:C165"/>
    <mergeCell ref="A182:C182"/>
    <mergeCell ref="A1:I1"/>
    <mergeCell ref="A3:I3"/>
    <mergeCell ref="A5:C5"/>
    <mergeCell ref="A144:C144"/>
    <mergeCell ref="A145:C145"/>
    <mergeCell ref="A139:C139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39"/>
  <sheetViews>
    <sheetView tabSelected="1" topLeftCell="B207" zoomScaleNormal="100" workbookViewId="0">
      <selection activeCell="H221" sqref="H221"/>
    </sheetView>
  </sheetViews>
  <sheetFormatPr defaultRowHeight="15" x14ac:dyDescent="0.25"/>
  <cols>
    <col min="2" max="2" width="11.140625" style="160" customWidth="1"/>
    <col min="3" max="3" width="16.7109375" style="160" customWidth="1"/>
    <col min="4" max="4" width="6.7109375" style="160" customWidth="1"/>
    <col min="5" max="5" width="34.28515625" style="160" customWidth="1"/>
    <col min="6" max="6" width="21.28515625" style="160" customWidth="1"/>
    <col min="7" max="7" width="18.28515625" style="160" customWidth="1"/>
    <col min="8" max="8" width="19.28515625" style="160" customWidth="1"/>
    <col min="9" max="9" width="18.42578125" style="160" customWidth="1"/>
    <col min="10" max="10" width="16.5703125" style="160" customWidth="1"/>
    <col min="11" max="12" width="8.85546875" style="160"/>
  </cols>
  <sheetData>
    <row r="1" spans="2:10" ht="42.6" customHeight="1" x14ac:dyDescent="0.25">
      <c r="B1" s="271" t="s">
        <v>205</v>
      </c>
      <c r="C1" s="271"/>
      <c r="D1" s="271"/>
      <c r="E1" s="271"/>
      <c r="F1" s="271"/>
      <c r="G1" s="271"/>
      <c r="H1" s="271"/>
      <c r="I1" s="271"/>
      <c r="J1" s="271"/>
    </row>
    <row r="2" spans="2:10" ht="18" x14ac:dyDescent="0.25">
      <c r="B2" s="29"/>
      <c r="C2" s="29"/>
      <c r="D2" s="29"/>
      <c r="E2" s="29"/>
      <c r="F2" s="29"/>
      <c r="G2" s="29"/>
      <c r="H2" s="29"/>
      <c r="I2" s="5"/>
      <c r="J2" s="5"/>
    </row>
    <row r="3" spans="2:10" ht="15.6" customHeight="1" x14ac:dyDescent="0.25">
      <c r="B3" s="271" t="s">
        <v>35</v>
      </c>
      <c r="C3" s="272"/>
      <c r="D3" s="272"/>
      <c r="E3" s="272"/>
      <c r="F3" s="272"/>
      <c r="G3" s="272"/>
      <c r="H3" s="272"/>
      <c r="I3" s="272"/>
      <c r="J3" s="272"/>
    </row>
    <row r="4" spans="2:10" ht="10.15" customHeight="1" x14ac:dyDescent="0.25">
      <c r="B4" s="29"/>
      <c r="C4" s="29"/>
      <c r="D4" s="29"/>
      <c r="E4" s="29"/>
      <c r="F4" s="29"/>
      <c r="G4" s="29"/>
      <c r="H4" s="29"/>
      <c r="I4" s="5"/>
      <c r="J4" s="5"/>
    </row>
    <row r="5" spans="2:10" ht="34.9" customHeight="1" thickBot="1" x14ac:dyDescent="0.3">
      <c r="B5" s="307" t="s">
        <v>37</v>
      </c>
      <c r="C5" s="308"/>
      <c r="D5" s="309"/>
      <c r="E5" s="24" t="s">
        <v>38</v>
      </c>
      <c r="F5" s="24" t="s">
        <v>12</v>
      </c>
      <c r="G5" s="25" t="s">
        <v>13</v>
      </c>
      <c r="H5" s="25" t="s">
        <v>50</v>
      </c>
      <c r="I5" s="25" t="s">
        <v>51</v>
      </c>
      <c r="J5" s="25" t="s">
        <v>52</v>
      </c>
    </row>
    <row r="6" spans="2:10" ht="15.75" thickBot="1" x14ac:dyDescent="0.3">
      <c r="B6" s="77"/>
      <c r="C6" s="78"/>
      <c r="D6" s="89"/>
      <c r="E6" s="90" t="s">
        <v>22</v>
      </c>
      <c r="F6" s="152">
        <f>SUM(F8:F16)</f>
        <v>1225327.6138151172</v>
      </c>
      <c r="G6" s="152">
        <f>SUM(G8:G16)</f>
        <v>1346630.9808965425</v>
      </c>
      <c r="H6" s="152">
        <f>SUM(H7:H16)</f>
        <v>1719230.393506537</v>
      </c>
      <c r="I6" s="152">
        <f t="shared" ref="I6:J6" si="0">SUM(I7:I16)</f>
        <v>1719230.393506537</v>
      </c>
      <c r="J6" s="152">
        <f t="shared" si="0"/>
        <v>1719230.393506537</v>
      </c>
    </row>
    <row r="7" spans="2:10" x14ac:dyDescent="0.25">
      <c r="B7" s="77"/>
      <c r="C7" s="78"/>
      <c r="D7" s="89">
        <v>11</v>
      </c>
      <c r="E7" s="89" t="s">
        <v>151</v>
      </c>
      <c r="F7" s="199"/>
      <c r="G7" s="199"/>
      <c r="H7" s="199">
        <f>H190+H207+H137</f>
        <v>12554.09</v>
      </c>
      <c r="I7" s="199">
        <f t="shared" ref="I7:J7" si="1">I190+I207+I137</f>
        <v>12554.09</v>
      </c>
      <c r="J7" s="199">
        <f t="shared" si="1"/>
        <v>12554.09</v>
      </c>
    </row>
    <row r="8" spans="2:10" ht="39.6" customHeight="1" x14ac:dyDescent="0.25">
      <c r="B8" s="77"/>
      <c r="C8" s="78"/>
      <c r="D8" s="89">
        <v>12</v>
      </c>
      <c r="E8" s="89" t="s">
        <v>151</v>
      </c>
      <c r="F8" s="153">
        <f>F19+F55</f>
        <v>167366.21624394451</v>
      </c>
      <c r="G8" s="153">
        <f t="shared" ref="G8:J8" si="2">G19+G55</f>
        <v>158221.13</v>
      </c>
      <c r="H8" s="153">
        <f t="shared" si="2"/>
        <v>181194.12</v>
      </c>
      <c r="I8" s="153">
        <f>I19+I55</f>
        <v>181194.12</v>
      </c>
      <c r="J8" s="153">
        <f t="shared" si="2"/>
        <v>181194.12</v>
      </c>
    </row>
    <row r="9" spans="2:10" x14ac:dyDescent="0.25">
      <c r="B9" s="77"/>
      <c r="C9" s="78"/>
      <c r="D9" s="89">
        <v>13</v>
      </c>
      <c r="E9" s="89" t="s">
        <v>150</v>
      </c>
      <c r="F9" s="154">
        <f>F170+F178</f>
        <v>11982.094365916782</v>
      </c>
      <c r="G9" s="154">
        <f t="shared" ref="G9:J9" si="3">G170+G178</f>
        <v>3807.8173734156217</v>
      </c>
      <c r="H9" s="154">
        <f t="shared" si="3"/>
        <v>0</v>
      </c>
      <c r="I9" s="154">
        <f t="shared" si="3"/>
        <v>0</v>
      </c>
      <c r="J9" s="154">
        <f t="shared" si="3"/>
        <v>0</v>
      </c>
    </row>
    <row r="10" spans="2:10" ht="25.5" x14ac:dyDescent="0.25">
      <c r="B10" s="77"/>
      <c r="C10" s="78"/>
      <c r="D10" s="89">
        <v>17</v>
      </c>
      <c r="E10" s="89" t="s">
        <v>183</v>
      </c>
      <c r="F10" s="154"/>
      <c r="G10" s="154"/>
      <c r="H10" s="154">
        <f>H70</f>
        <v>3128</v>
      </c>
      <c r="I10" s="154">
        <f t="shared" ref="I10:J10" si="4">I70</f>
        <v>3128</v>
      </c>
      <c r="J10" s="154">
        <f t="shared" si="4"/>
        <v>3128</v>
      </c>
    </row>
    <row r="11" spans="2:10" ht="22.15" customHeight="1" x14ac:dyDescent="0.25">
      <c r="B11" s="77"/>
      <c r="C11" s="78"/>
      <c r="D11" s="89">
        <v>31</v>
      </c>
      <c r="E11" s="89" t="s">
        <v>152</v>
      </c>
      <c r="F11" s="154">
        <f>F101+F104++F107+F110+F112+F113+F117+F120+F108</f>
        <v>738.80549472426821</v>
      </c>
      <c r="G11" s="154">
        <f t="shared" ref="G11" si="5">G101+G104++G107+G110+G112+G113+G117+G120+G108</f>
        <v>4127.6793416948703</v>
      </c>
      <c r="H11" s="154">
        <f>4127.67+H128</f>
        <v>5627.67</v>
      </c>
      <c r="I11" s="154">
        <f t="shared" ref="I11:J11" si="6">4127.67+I128</f>
        <v>5627.67</v>
      </c>
      <c r="J11" s="154">
        <f t="shared" si="6"/>
        <v>5627.67</v>
      </c>
    </row>
    <row r="12" spans="2:10" ht="22.15" customHeight="1" x14ac:dyDescent="0.25">
      <c r="B12" s="77"/>
      <c r="C12" s="78"/>
      <c r="D12" s="89">
        <v>412</v>
      </c>
      <c r="E12" s="89" t="s">
        <v>153</v>
      </c>
      <c r="F12" s="154">
        <f>F105+F106</f>
        <v>21728.944190059061</v>
      </c>
      <c r="G12" s="154">
        <f t="shared" ref="G12:J12" si="7">G105+G106</f>
        <v>33492.600703430886</v>
      </c>
      <c r="H12" s="154">
        <f t="shared" si="7"/>
        <v>33492.600703430886</v>
      </c>
      <c r="I12" s="154">
        <f t="shared" si="7"/>
        <v>33492.600703430886</v>
      </c>
      <c r="J12" s="154">
        <f t="shared" si="7"/>
        <v>33492.600703430886</v>
      </c>
    </row>
    <row r="13" spans="2:10" ht="39.6" customHeight="1" x14ac:dyDescent="0.25">
      <c r="B13" s="77"/>
      <c r="C13" s="78"/>
      <c r="D13" s="89">
        <v>501</v>
      </c>
      <c r="E13" s="89" t="s">
        <v>154</v>
      </c>
      <c r="F13" s="154">
        <f>F75</f>
        <v>1007033.2828986662</v>
      </c>
      <c r="G13" s="154">
        <f>G75</f>
        <v>1096887.6499999999</v>
      </c>
      <c r="H13" s="154">
        <f>H75</f>
        <v>1392558.2593251048</v>
      </c>
      <c r="I13" s="154">
        <f t="shared" ref="I13:J13" si="8">I75</f>
        <v>1392558.2593251048</v>
      </c>
      <c r="J13" s="154">
        <f t="shared" si="8"/>
        <v>1392558.2593251048</v>
      </c>
    </row>
    <row r="14" spans="2:10" ht="46.15" customHeight="1" x14ac:dyDescent="0.25">
      <c r="B14" s="77"/>
      <c r="C14" s="78"/>
      <c r="D14" s="89">
        <v>54</v>
      </c>
      <c r="E14" s="89" t="s">
        <v>155</v>
      </c>
      <c r="F14" s="154">
        <f>F151+F160</f>
        <v>16222.861503749418</v>
      </c>
      <c r="G14" s="154">
        <v>49683.99</v>
      </c>
      <c r="H14" s="154">
        <f>53491.81+53.08+H204</f>
        <v>90265.540000000008</v>
      </c>
      <c r="I14" s="154">
        <f t="shared" ref="I14:J14" si="9">53491.81+53.08+I204</f>
        <v>90265.540000000008</v>
      </c>
      <c r="J14" s="154">
        <f t="shared" si="9"/>
        <v>90265.540000000008</v>
      </c>
    </row>
    <row r="15" spans="2:10" x14ac:dyDescent="0.25">
      <c r="B15" s="77"/>
      <c r="C15" s="78"/>
      <c r="D15" s="89">
        <v>61</v>
      </c>
      <c r="E15" s="89" t="s">
        <v>156</v>
      </c>
      <c r="F15" s="154">
        <f>F115</f>
        <v>255.4091180569381</v>
      </c>
      <c r="G15" s="154">
        <f t="shared" ref="G15:J15" si="10">G115</f>
        <v>410.11347800119449</v>
      </c>
      <c r="H15" s="154">
        <f t="shared" si="10"/>
        <v>410.11347800119449</v>
      </c>
      <c r="I15" s="154">
        <f t="shared" si="10"/>
        <v>410.11347800119449</v>
      </c>
      <c r="J15" s="154">
        <f t="shared" si="10"/>
        <v>410.11347800119449</v>
      </c>
    </row>
    <row r="16" spans="2:10" x14ac:dyDescent="0.25">
      <c r="B16" s="79"/>
      <c r="C16" s="79"/>
      <c r="D16" s="79"/>
      <c r="E16" s="80"/>
      <c r="F16" s="130"/>
      <c r="G16" s="129"/>
      <c r="H16" s="113"/>
      <c r="I16" s="113"/>
      <c r="J16" s="113"/>
    </row>
    <row r="17" spans="2:10" ht="25.5" x14ac:dyDescent="0.25">
      <c r="B17" s="115" t="s">
        <v>178</v>
      </c>
      <c r="C17" s="119"/>
      <c r="D17" s="117"/>
      <c r="E17" s="78" t="s">
        <v>171</v>
      </c>
      <c r="F17" s="118">
        <v>1225327.6100000001</v>
      </c>
      <c r="G17" s="118">
        <v>1346630.98</v>
      </c>
      <c r="H17" s="118">
        <f>H18+H96+H142</f>
        <v>1706102.3884053356</v>
      </c>
      <c r="I17" s="118">
        <f>I18+I96+I142</f>
        <v>1701911.0584053355</v>
      </c>
      <c r="J17" s="118">
        <f>J18+J96+J142</f>
        <v>1701911.0584053355</v>
      </c>
    </row>
    <row r="18" spans="2:10" ht="39" customHeight="1" x14ac:dyDescent="0.25">
      <c r="B18" s="12" t="s">
        <v>179</v>
      </c>
      <c r="C18" s="70" t="s">
        <v>168</v>
      </c>
      <c r="D18" s="17"/>
      <c r="E18" s="17"/>
      <c r="F18" s="62">
        <f>F19+F77+F55</f>
        <v>1151311.8516543901</v>
      </c>
      <c r="G18" s="62" t="b">
        <f>H14=G19+G77+G55</f>
        <v>0</v>
      </c>
      <c r="H18" s="62">
        <f>H19+H77+H55</f>
        <v>1539698.3339491673</v>
      </c>
      <c r="I18" s="62">
        <f>I19+I77+I55</f>
        <v>1539698.3339491673</v>
      </c>
      <c r="J18" s="62">
        <f t="shared" ref="J18" si="11">J19+J77+J55</f>
        <v>1539698.3339491673</v>
      </c>
    </row>
    <row r="19" spans="2:10" ht="51" x14ac:dyDescent="0.25">
      <c r="B19" s="12" t="s">
        <v>169</v>
      </c>
      <c r="C19" s="70" t="s">
        <v>170</v>
      </c>
      <c r="D19" s="17"/>
      <c r="E19" s="17"/>
      <c r="F19" s="132">
        <f>F20</f>
        <v>112563.97</v>
      </c>
      <c r="G19" s="132">
        <f t="shared" ref="G19:J19" si="12">G20</f>
        <v>151584.99</v>
      </c>
      <c r="H19" s="62">
        <f t="shared" si="12"/>
        <v>181194.12</v>
      </c>
      <c r="I19" s="62">
        <f t="shared" si="12"/>
        <v>181194.12</v>
      </c>
      <c r="J19" s="62">
        <f t="shared" si="12"/>
        <v>181194.12</v>
      </c>
    </row>
    <row r="20" spans="2:10" x14ac:dyDescent="0.25">
      <c r="B20" s="13"/>
      <c r="C20" s="13"/>
      <c r="D20" s="46">
        <v>12</v>
      </c>
      <c r="E20" s="46" t="s">
        <v>20</v>
      </c>
      <c r="F20" s="132">
        <f>F21+F45+F50</f>
        <v>112563.97</v>
      </c>
      <c r="G20" s="132">
        <f>G21+G45+G50</f>
        <v>151584.99</v>
      </c>
      <c r="H20" s="62">
        <f>H21+H45+H50</f>
        <v>181194.12</v>
      </c>
      <c r="I20" s="62">
        <f>I21+I45+I50</f>
        <v>181194.12</v>
      </c>
      <c r="J20" s="62">
        <f>J21+J45+J50</f>
        <v>181194.12</v>
      </c>
    </row>
    <row r="21" spans="2:10" ht="29.45" customHeight="1" x14ac:dyDescent="0.25">
      <c r="B21" s="13"/>
      <c r="C21" s="13">
        <v>32</v>
      </c>
      <c r="D21" s="14"/>
      <c r="E21" s="13" t="s">
        <v>39</v>
      </c>
      <c r="F21" s="131">
        <f>F23+F26+F32+F41</f>
        <v>53710.39</v>
      </c>
      <c r="G21" s="131">
        <f>G23+G26+G32+G41</f>
        <v>73498.989999999991</v>
      </c>
      <c r="H21" s="61">
        <f>H23+H26+H32+H41</f>
        <v>104397.43</v>
      </c>
      <c r="I21" s="61">
        <f>I23+I26+I32+I41</f>
        <v>104397.43</v>
      </c>
      <c r="J21" s="61">
        <f t="shared" ref="J21" si="13">J23+J26+J32+J41</f>
        <v>104397.43</v>
      </c>
    </row>
    <row r="22" spans="2:10" x14ac:dyDescent="0.25">
      <c r="B22" s="13"/>
      <c r="C22" s="13"/>
      <c r="D22" s="14"/>
      <c r="E22" s="14"/>
      <c r="F22" s="131"/>
      <c r="G22" s="127"/>
      <c r="H22" s="63"/>
      <c r="I22" s="63"/>
      <c r="J22" s="63"/>
    </row>
    <row r="23" spans="2:10" ht="32.450000000000003" customHeight="1" x14ac:dyDescent="0.25">
      <c r="B23" s="13"/>
      <c r="C23" s="32">
        <v>321</v>
      </c>
      <c r="D23" s="46">
        <v>12</v>
      </c>
      <c r="E23" s="46" t="s">
        <v>62</v>
      </c>
      <c r="F23" s="132">
        <f>SUM(F24:F25)</f>
        <v>924.55</v>
      </c>
      <c r="G23" s="132">
        <f t="shared" ref="G23" si="14">SUM(G24:G25)</f>
        <v>1168</v>
      </c>
      <c r="H23" s="62">
        <f>SUM(H24:H25)</f>
        <v>5500</v>
      </c>
      <c r="I23" s="62">
        <f t="shared" ref="I23:J23" si="15">SUM(I24:I25)</f>
        <v>5500</v>
      </c>
      <c r="J23" s="62">
        <f t="shared" si="15"/>
        <v>5500</v>
      </c>
    </row>
    <row r="24" spans="2:10" ht="46.9" customHeight="1" x14ac:dyDescent="0.25">
      <c r="B24" s="13"/>
      <c r="C24" s="13">
        <v>3211</v>
      </c>
      <c r="D24" s="14">
        <v>12</v>
      </c>
      <c r="E24" s="14" t="s">
        <v>63</v>
      </c>
      <c r="F24" s="55">
        <v>924.55</v>
      </c>
      <c r="G24" s="127">
        <v>1168</v>
      </c>
      <c r="H24" s="262">
        <v>5500</v>
      </c>
      <c r="I24" s="262">
        <v>5500</v>
      </c>
      <c r="J24" s="262">
        <v>5500</v>
      </c>
    </row>
    <row r="25" spans="2:10" x14ac:dyDescent="0.25">
      <c r="B25" s="13"/>
      <c r="C25" s="13">
        <v>3212</v>
      </c>
      <c r="D25" s="14">
        <v>12</v>
      </c>
      <c r="E25" s="14" t="s">
        <v>64</v>
      </c>
      <c r="F25" s="131"/>
      <c r="G25" s="127"/>
      <c r="H25" s="182"/>
      <c r="I25" s="182"/>
      <c r="J25" s="182"/>
    </row>
    <row r="26" spans="2:10" x14ac:dyDescent="0.25">
      <c r="B26" s="13"/>
      <c r="C26" s="32">
        <v>322</v>
      </c>
      <c r="D26" s="46">
        <v>12</v>
      </c>
      <c r="E26" s="46" t="s">
        <v>65</v>
      </c>
      <c r="F26" s="132">
        <f>SUM(F27:F31)</f>
        <v>30766.69</v>
      </c>
      <c r="G26" s="132">
        <f>SUM(G27:G31)</f>
        <v>50076.51</v>
      </c>
      <c r="H26" s="263">
        <f>SUM(H27:H31)</f>
        <v>78874.17</v>
      </c>
      <c r="I26" s="263">
        <f t="shared" ref="I26:J26" si="16">SUM(I27:I31)</f>
        <v>78874.17</v>
      </c>
      <c r="J26" s="263">
        <f t="shared" si="16"/>
        <v>78874.17</v>
      </c>
    </row>
    <row r="27" spans="2:10" x14ac:dyDescent="0.25">
      <c r="B27" s="13"/>
      <c r="C27" s="13">
        <v>3221</v>
      </c>
      <c r="D27" s="14">
        <v>12</v>
      </c>
      <c r="E27" s="14" t="s">
        <v>66</v>
      </c>
      <c r="F27" s="131">
        <v>7977.78</v>
      </c>
      <c r="G27" s="127">
        <v>6636.32</v>
      </c>
      <c r="H27" s="182">
        <v>7000</v>
      </c>
      <c r="I27" s="182">
        <v>7000</v>
      </c>
      <c r="J27" s="182">
        <v>7000</v>
      </c>
    </row>
    <row r="28" spans="2:10" x14ac:dyDescent="0.25">
      <c r="B28" s="13"/>
      <c r="C28" s="13">
        <v>3222</v>
      </c>
      <c r="D28" s="14">
        <v>12</v>
      </c>
      <c r="E28" s="14" t="s">
        <v>67</v>
      </c>
      <c r="F28" s="131">
        <v>211.25</v>
      </c>
      <c r="G28" s="127">
        <v>66.37</v>
      </c>
      <c r="H28" s="182">
        <v>13.2</v>
      </c>
      <c r="I28" s="182">
        <v>13.2</v>
      </c>
      <c r="J28" s="182">
        <v>13.2</v>
      </c>
    </row>
    <row r="29" spans="2:10" x14ac:dyDescent="0.25">
      <c r="B29" s="13"/>
      <c r="C29" s="13">
        <v>3223</v>
      </c>
      <c r="D29" s="14">
        <v>12</v>
      </c>
      <c r="E29" s="14" t="s">
        <v>68</v>
      </c>
      <c r="F29" s="131">
        <v>19530.099999999999</v>
      </c>
      <c r="G29" s="127">
        <v>40321.19</v>
      </c>
      <c r="H29" s="182">
        <v>64962.8</v>
      </c>
      <c r="I29" s="182">
        <v>64962.8</v>
      </c>
      <c r="J29" s="182">
        <v>64962.8</v>
      </c>
    </row>
    <row r="30" spans="2:10" x14ac:dyDescent="0.25">
      <c r="B30" s="13"/>
      <c r="C30" s="13">
        <v>3224</v>
      </c>
      <c r="D30" s="14">
        <v>12</v>
      </c>
      <c r="E30" s="14" t="s">
        <v>69</v>
      </c>
      <c r="F30" s="131">
        <v>2738.26</v>
      </c>
      <c r="G30" s="127">
        <v>2654.46</v>
      </c>
      <c r="H30" s="182">
        <v>6500</v>
      </c>
      <c r="I30" s="182">
        <v>6500</v>
      </c>
      <c r="J30" s="182">
        <v>6500</v>
      </c>
    </row>
    <row r="31" spans="2:10" ht="24" customHeight="1" x14ac:dyDescent="0.25">
      <c r="B31" s="13"/>
      <c r="C31" s="13">
        <v>3225</v>
      </c>
      <c r="D31" s="14">
        <v>12</v>
      </c>
      <c r="E31" s="14" t="s">
        <v>70</v>
      </c>
      <c r="F31" s="131">
        <v>309.3</v>
      </c>
      <c r="G31" s="127">
        <v>398.17</v>
      </c>
      <c r="H31" s="63">
        <v>398.17</v>
      </c>
      <c r="I31" s="63">
        <v>398.17</v>
      </c>
      <c r="J31" s="63">
        <v>398.17</v>
      </c>
    </row>
    <row r="32" spans="2:10" x14ac:dyDescent="0.25">
      <c r="B32" s="32"/>
      <c r="C32" s="32">
        <v>323</v>
      </c>
      <c r="D32" s="46">
        <v>12</v>
      </c>
      <c r="E32" s="46" t="s">
        <v>71</v>
      </c>
      <c r="F32" s="132">
        <f>SUM(F33:F39)</f>
        <v>20882.59</v>
      </c>
      <c r="G32" s="132">
        <f>SUM(G33:G40)</f>
        <v>20860.89</v>
      </c>
      <c r="H32" s="62">
        <f>SUM(H33:H40)</f>
        <v>19054.379999999997</v>
      </c>
      <c r="I32" s="62">
        <f t="shared" ref="I32:J32" si="17">SUM(I33:I40)</f>
        <v>19054.379999999997</v>
      </c>
      <c r="J32" s="62">
        <f t="shared" si="17"/>
        <v>19054.379999999997</v>
      </c>
    </row>
    <row r="33" spans="2:10" x14ac:dyDescent="0.25">
      <c r="B33" s="13"/>
      <c r="C33" s="13">
        <v>3231</v>
      </c>
      <c r="D33" s="14">
        <v>12</v>
      </c>
      <c r="E33" s="14" t="s">
        <v>72</v>
      </c>
      <c r="F33" s="131">
        <v>3614.09</v>
      </c>
      <c r="G33" s="127">
        <v>4207.32</v>
      </c>
      <c r="H33" s="63">
        <v>3981.68</v>
      </c>
      <c r="I33" s="63">
        <v>3981.68</v>
      </c>
      <c r="J33" s="63">
        <v>3981.68</v>
      </c>
    </row>
    <row r="34" spans="2:10" x14ac:dyDescent="0.25">
      <c r="B34" s="13"/>
      <c r="C34" s="13">
        <v>3232</v>
      </c>
      <c r="D34" s="14">
        <v>12</v>
      </c>
      <c r="E34" s="14" t="s">
        <v>73</v>
      </c>
      <c r="F34" s="131">
        <v>8542.7999999999993</v>
      </c>
      <c r="G34" s="127">
        <v>3536.17</v>
      </c>
      <c r="H34" s="63">
        <v>3318.07</v>
      </c>
      <c r="I34" s="63">
        <v>3318.07</v>
      </c>
      <c r="J34" s="63">
        <v>3318.07</v>
      </c>
    </row>
    <row r="35" spans="2:10" ht="45.6" customHeight="1" x14ac:dyDescent="0.25">
      <c r="B35" s="13"/>
      <c r="C35" s="13">
        <v>3233</v>
      </c>
      <c r="D35" s="14">
        <v>12</v>
      </c>
      <c r="E35" s="14" t="s">
        <v>74</v>
      </c>
      <c r="F35" s="131">
        <v>254.83</v>
      </c>
      <c r="G35" s="127">
        <v>254.83</v>
      </c>
      <c r="H35" s="182">
        <v>258.05</v>
      </c>
      <c r="I35" s="182">
        <v>258.05</v>
      </c>
      <c r="J35" s="182">
        <v>258.05</v>
      </c>
    </row>
    <row r="36" spans="2:10" x14ac:dyDescent="0.25">
      <c r="B36" s="13"/>
      <c r="C36" s="13">
        <v>3234</v>
      </c>
      <c r="D36" s="14">
        <v>12</v>
      </c>
      <c r="E36" s="14" t="s">
        <v>75</v>
      </c>
      <c r="F36" s="131">
        <v>5178.6899999999996</v>
      </c>
      <c r="G36" s="127">
        <v>5308.92</v>
      </c>
      <c r="H36" s="182">
        <v>4645.3</v>
      </c>
      <c r="I36" s="182">
        <v>4645.3</v>
      </c>
      <c r="J36" s="182">
        <v>4645.3</v>
      </c>
    </row>
    <row r="37" spans="2:10" ht="29.45" customHeight="1" x14ac:dyDescent="0.25">
      <c r="B37" s="13"/>
      <c r="C37" s="13">
        <v>3236</v>
      </c>
      <c r="D37" s="14">
        <v>12</v>
      </c>
      <c r="E37" s="14" t="s">
        <v>76</v>
      </c>
      <c r="F37" s="131">
        <v>764.82</v>
      </c>
      <c r="G37" s="127">
        <v>3474.68</v>
      </c>
      <c r="H37" s="182">
        <v>4000</v>
      </c>
      <c r="I37" s="182">
        <v>4000</v>
      </c>
      <c r="J37" s="182">
        <v>4000</v>
      </c>
    </row>
    <row r="38" spans="2:10" ht="30.6" customHeight="1" x14ac:dyDescent="0.25">
      <c r="B38" s="13"/>
      <c r="C38" s="13">
        <v>3237</v>
      </c>
      <c r="D38" s="14">
        <v>12</v>
      </c>
      <c r="E38" s="14" t="s">
        <v>81</v>
      </c>
      <c r="F38" s="131">
        <v>132.80000000000001</v>
      </c>
      <c r="G38" s="127">
        <v>1061.79</v>
      </c>
      <c r="H38" s="182"/>
      <c r="I38" s="182"/>
      <c r="J38" s="182"/>
    </row>
    <row r="39" spans="2:10" x14ac:dyDescent="0.25">
      <c r="B39" s="13"/>
      <c r="C39" s="13">
        <v>3238</v>
      </c>
      <c r="D39" s="14">
        <v>12</v>
      </c>
      <c r="E39" s="14" t="s">
        <v>77</v>
      </c>
      <c r="F39" s="131">
        <v>2394.56</v>
      </c>
      <c r="G39" s="127">
        <v>2953.08</v>
      </c>
      <c r="H39" s="63">
        <v>2787.18</v>
      </c>
      <c r="I39" s="63">
        <v>2787.18</v>
      </c>
      <c r="J39" s="63">
        <v>2787.18</v>
      </c>
    </row>
    <row r="40" spans="2:10" x14ac:dyDescent="0.25">
      <c r="B40" s="13"/>
      <c r="C40" s="13">
        <v>3239</v>
      </c>
      <c r="D40" s="14">
        <v>12</v>
      </c>
      <c r="E40" s="14" t="s">
        <v>78</v>
      </c>
      <c r="F40" s="131"/>
      <c r="G40" s="127">
        <v>64.099999999999994</v>
      </c>
      <c r="H40" s="63">
        <v>64.099999999999994</v>
      </c>
      <c r="I40" s="63">
        <v>64.099999999999994</v>
      </c>
      <c r="J40" s="63">
        <v>64.099999999999994</v>
      </c>
    </row>
    <row r="41" spans="2:10" x14ac:dyDescent="0.25">
      <c r="B41" s="32"/>
      <c r="C41" s="32">
        <v>329</v>
      </c>
      <c r="D41" s="46">
        <v>12</v>
      </c>
      <c r="E41" s="46" t="s">
        <v>79</v>
      </c>
      <c r="F41" s="132">
        <f t="shared" ref="F41:G41" si="18">SUM(F42:F43)</f>
        <v>1136.56</v>
      </c>
      <c r="G41" s="132">
        <f t="shared" si="18"/>
        <v>1393.59</v>
      </c>
      <c r="H41" s="62">
        <f>SUM(H42:H43)</f>
        <v>968.88</v>
      </c>
      <c r="I41" s="62">
        <f t="shared" ref="I41:J41" si="19">SUM(I42:I43)</f>
        <v>968.88</v>
      </c>
      <c r="J41" s="62">
        <f t="shared" si="19"/>
        <v>968.88</v>
      </c>
    </row>
    <row r="42" spans="2:10" x14ac:dyDescent="0.25">
      <c r="B42" s="13"/>
      <c r="C42" s="13">
        <v>3292</v>
      </c>
      <c r="D42" s="14">
        <v>12</v>
      </c>
      <c r="E42" s="14" t="s">
        <v>80</v>
      </c>
      <c r="F42" s="131">
        <v>1103.79</v>
      </c>
      <c r="G42" s="127">
        <v>1327.23</v>
      </c>
      <c r="H42" s="63">
        <v>902.52</v>
      </c>
      <c r="I42" s="63">
        <v>902.52</v>
      </c>
      <c r="J42" s="63">
        <v>902.52</v>
      </c>
    </row>
    <row r="43" spans="2:10" x14ac:dyDescent="0.25">
      <c r="B43" s="13"/>
      <c r="C43" s="13">
        <v>3299</v>
      </c>
      <c r="D43" s="14">
        <v>12</v>
      </c>
      <c r="E43" s="14" t="s">
        <v>79</v>
      </c>
      <c r="F43" s="131">
        <v>32.770000000000003</v>
      </c>
      <c r="G43" s="127">
        <v>66.36</v>
      </c>
      <c r="H43" s="63">
        <v>66.36</v>
      </c>
      <c r="I43" s="63">
        <v>66.36</v>
      </c>
      <c r="J43" s="63">
        <v>66.36</v>
      </c>
    </row>
    <row r="44" spans="2:10" x14ac:dyDescent="0.25">
      <c r="B44" s="13"/>
      <c r="C44" s="13"/>
      <c r="D44" s="14">
        <v>12</v>
      </c>
      <c r="E44" s="14"/>
      <c r="F44" s="131"/>
      <c r="G44" s="127"/>
      <c r="H44" s="63"/>
      <c r="I44" s="63"/>
      <c r="J44" s="63"/>
    </row>
    <row r="45" spans="2:10" ht="15.6" customHeight="1" x14ac:dyDescent="0.25">
      <c r="B45" s="13"/>
      <c r="C45" s="32">
        <v>34</v>
      </c>
      <c r="D45" s="14">
        <v>12</v>
      </c>
      <c r="E45" s="14" t="s">
        <v>130</v>
      </c>
      <c r="F45" s="132">
        <v>828.58</v>
      </c>
      <c r="G45" s="126">
        <v>1274</v>
      </c>
      <c r="H45" s="64">
        <v>800</v>
      </c>
      <c r="I45" s="64">
        <v>800</v>
      </c>
      <c r="J45" s="64">
        <v>800</v>
      </c>
    </row>
    <row r="46" spans="2:10" x14ac:dyDescent="0.25">
      <c r="B46" s="32"/>
      <c r="C46" s="32">
        <v>343</v>
      </c>
      <c r="D46" s="14">
        <v>12</v>
      </c>
      <c r="E46" s="46" t="s">
        <v>131</v>
      </c>
      <c r="F46" s="132">
        <f>SUM(F47:F48)</f>
        <v>828.58</v>
      </c>
      <c r="G46" s="132">
        <f t="shared" ref="G46:J46" si="20">SUM(G47:G48)</f>
        <v>1274.1400000000001</v>
      </c>
      <c r="H46" s="263">
        <f t="shared" si="20"/>
        <v>800</v>
      </c>
      <c r="I46" s="263">
        <f t="shared" si="20"/>
        <v>800</v>
      </c>
      <c r="J46" s="263">
        <f t="shared" si="20"/>
        <v>800</v>
      </c>
    </row>
    <row r="47" spans="2:10" x14ac:dyDescent="0.25">
      <c r="B47" s="13"/>
      <c r="C47" s="13">
        <v>3431</v>
      </c>
      <c r="D47" s="14">
        <v>12</v>
      </c>
      <c r="E47" s="14" t="s">
        <v>132</v>
      </c>
      <c r="F47" s="131">
        <v>828.58</v>
      </c>
      <c r="G47" s="127">
        <v>1274.1400000000001</v>
      </c>
      <c r="H47" s="182">
        <v>800</v>
      </c>
      <c r="I47" s="182">
        <v>800</v>
      </c>
      <c r="J47" s="182">
        <v>800</v>
      </c>
    </row>
    <row r="48" spans="2:10" x14ac:dyDescent="0.25">
      <c r="B48" s="13"/>
      <c r="C48" s="13">
        <v>3433</v>
      </c>
      <c r="D48" s="14">
        <v>12</v>
      </c>
      <c r="E48" s="14"/>
      <c r="F48" s="131"/>
      <c r="G48" s="127"/>
      <c r="H48" s="182"/>
      <c r="I48" s="182"/>
      <c r="J48" s="182"/>
    </row>
    <row r="49" spans="2:10" x14ac:dyDescent="0.25">
      <c r="B49" s="13"/>
      <c r="C49" s="13"/>
      <c r="D49" s="14">
        <v>12</v>
      </c>
      <c r="E49" s="14"/>
      <c r="F49" s="131"/>
      <c r="G49" s="127"/>
      <c r="H49" s="63"/>
      <c r="I49" s="63"/>
      <c r="J49" s="63"/>
    </row>
    <row r="50" spans="2:10" ht="22.9" customHeight="1" x14ac:dyDescent="0.25">
      <c r="B50" s="13"/>
      <c r="C50" s="32">
        <v>37</v>
      </c>
      <c r="D50" s="14">
        <v>12</v>
      </c>
      <c r="E50" s="70" t="s">
        <v>123</v>
      </c>
      <c r="F50" s="132">
        <v>58025</v>
      </c>
      <c r="G50" s="126">
        <v>76812</v>
      </c>
      <c r="H50" s="63">
        <v>75996.69</v>
      </c>
      <c r="I50" s="63">
        <v>75996.69</v>
      </c>
      <c r="J50" s="63">
        <v>75996.69</v>
      </c>
    </row>
    <row r="51" spans="2:10" ht="27.6" customHeight="1" x14ac:dyDescent="0.25">
      <c r="B51" s="32"/>
      <c r="C51" s="32">
        <v>372</v>
      </c>
      <c r="D51" s="14">
        <v>12</v>
      </c>
      <c r="E51" s="70" t="s">
        <v>124</v>
      </c>
      <c r="F51" s="132">
        <f>SUM(F52:F52)</f>
        <v>58025.15</v>
      </c>
      <c r="G51" s="132">
        <f>SUM(G52:G52)</f>
        <v>76812.13</v>
      </c>
      <c r="H51" s="62">
        <f>SUM(H52:H52)</f>
        <v>75996.69</v>
      </c>
      <c r="I51" s="62">
        <f>SUM(I52:I52)</f>
        <v>75996.69</v>
      </c>
      <c r="J51" s="62">
        <f>SUM(J52:J52)</f>
        <v>75996.69</v>
      </c>
    </row>
    <row r="52" spans="2:10" ht="22.9" customHeight="1" x14ac:dyDescent="0.25">
      <c r="B52" s="13"/>
      <c r="C52" s="13">
        <v>3722</v>
      </c>
      <c r="D52" s="14">
        <v>12</v>
      </c>
      <c r="E52" s="20" t="s">
        <v>125</v>
      </c>
      <c r="F52" s="131">
        <v>58025.15</v>
      </c>
      <c r="G52" s="127">
        <v>76812.13</v>
      </c>
      <c r="H52" s="63">
        <v>75996.69</v>
      </c>
      <c r="I52" s="63">
        <v>75996.69</v>
      </c>
      <c r="J52" s="63">
        <v>75996.69</v>
      </c>
    </row>
    <row r="53" spans="2:10" x14ac:dyDescent="0.25">
      <c r="B53" s="13"/>
      <c r="C53" s="13"/>
      <c r="D53" s="14"/>
      <c r="E53" s="14"/>
      <c r="F53" s="131"/>
      <c r="G53" s="127"/>
      <c r="H53" s="63"/>
      <c r="I53" s="63"/>
      <c r="J53" s="63"/>
    </row>
    <row r="54" spans="2:10" ht="39" x14ac:dyDescent="0.25">
      <c r="B54" s="56" t="s">
        <v>82</v>
      </c>
      <c r="C54" s="120" t="s">
        <v>83</v>
      </c>
      <c r="D54" s="14"/>
      <c r="E54" s="14"/>
      <c r="F54" s="131"/>
      <c r="G54" s="127"/>
      <c r="H54" s="63"/>
      <c r="I54" s="63"/>
      <c r="J54" s="63"/>
    </row>
    <row r="55" spans="2:10" ht="25.5" x14ac:dyDescent="0.25">
      <c r="B55" s="15">
        <v>4</v>
      </c>
      <c r="C55" s="16"/>
      <c r="D55" s="16"/>
      <c r="E55" s="30" t="s">
        <v>24</v>
      </c>
      <c r="F55" s="132">
        <f>F59+F65</f>
        <v>54802.246243944515</v>
      </c>
      <c r="G55" s="132">
        <f>G59+G65</f>
        <v>6636.14</v>
      </c>
      <c r="H55" s="62">
        <f>H59+H65</f>
        <v>0</v>
      </c>
      <c r="I55" s="62">
        <f t="shared" ref="I55:J55" si="21">I59+I65</f>
        <v>0</v>
      </c>
      <c r="J55" s="62">
        <f t="shared" si="21"/>
        <v>0</v>
      </c>
    </row>
    <row r="56" spans="2:10" ht="25.5" x14ac:dyDescent="0.25">
      <c r="B56" s="12"/>
      <c r="C56" s="12">
        <v>41</v>
      </c>
      <c r="D56" s="12"/>
      <c r="E56" s="30" t="s">
        <v>25</v>
      </c>
      <c r="F56" s="132"/>
      <c r="G56" s="126"/>
      <c r="H56" s="64"/>
      <c r="I56" s="64"/>
      <c r="J56" s="64"/>
    </row>
    <row r="57" spans="2:10" x14ac:dyDescent="0.25">
      <c r="B57" s="17"/>
      <c r="C57" s="17"/>
      <c r="D57" s="14">
        <v>12</v>
      </c>
      <c r="E57" s="14" t="s">
        <v>20</v>
      </c>
      <c r="F57" s="131"/>
      <c r="G57" s="127"/>
      <c r="H57" s="63"/>
      <c r="I57" s="63"/>
      <c r="J57" s="63"/>
    </row>
    <row r="58" spans="2:10" x14ac:dyDescent="0.25">
      <c r="B58" s="17"/>
      <c r="C58" s="17"/>
      <c r="D58" s="14"/>
      <c r="E58"/>
      <c r="F58" s="131"/>
      <c r="G58" s="127"/>
      <c r="H58" s="63"/>
      <c r="I58" s="63"/>
      <c r="J58" s="63"/>
    </row>
    <row r="59" spans="2:10" ht="38.25" x14ac:dyDescent="0.25">
      <c r="B59" s="12"/>
      <c r="C59" s="12">
        <v>42</v>
      </c>
      <c r="D59" s="46">
        <v>12</v>
      </c>
      <c r="E59" s="67" t="s">
        <v>87</v>
      </c>
      <c r="F59" s="132">
        <v>2460.85</v>
      </c>
      <c r="G59" s="126"/>
      <c r="H59" s="64"/>
      <c r="I59" s="64"/>
      <c r="J59" s="64"/>
    </row>
    <row r="60" spans="2:10" x14ac:dyDescent="0.25">
      <c r="B60" s="12"/>
      <c r="C60" s="76">
        <v>422</v>
      </c>
      <c r="D60" s="46">
        <v>12</v>
      </c>
      <c r="E60" s="46" t="s">
        <v>86</v>
      </c>
      <c r="F60" s="132"/>
      <c r="G60" s="126"/>
      <c r="H60" s="64"/>
      <c r="I60" s="64"/>
      <c r="J60" s="64"/>
    </row>
    <row r="61" spans="2:10" x14ac:dyDescent="0.25">
      <c r="B61" s="57"/>
      <c r="C61" s="57">
        <v>4221</v>
      </c>
      <c r="D61" s="14">
        <v>12</v>
      </c>
      <c r="E61" s="60" t="s">
        <v>84</v>
      </c>
      <c r="F61" s="58">
        <f>18541.25/7.5345</f>
        <v>2460.8467715176853</v>
      </c>
      <c r="G61" s="58"/>
      <c r="H61" s="65"/>
      <c r="I61" s="65"/>
      <c r="J61" s="65"/>
    </row>
    <row r="62" spans="2:10" x14ac:dyDescent="0.25">
      <c r="B62" s="57"/>
      <c r="C62" s="57">
        <v>4223</v>
      </c>
      <c r="D62" s="14">
        <v>12</v>
      </c>
      <c r="E62" s="60" t="s">
        <v>90</v>
      </c>
      <c r="F62" s="58"/>
      <c r="G62" s="58"/>
      <c r="H62" s="65"/>
      <c r="I62" s="65"/>
      <c r="J62" s="65"/>
    </row>
    <row r="63" spans="2:10" x14ac:dyDescent="0.25">
      <c r="B63" s="57"/>
      <c r="C63" s="57"/>
      <c r="D63" s="14"/>
      <c r="E63" s="60"/>
      <c r="F63" s="58"/>
      <c r="G63" s="58"/>
      <c r="H63" s="65"/>
      <c r="I63" s="65"/>
      <c r="J63" s="65"/>
    </row>
    <row r="64" spans="2:10" x14ac:dyDescent="0.25">
      <c r="B64" s="57"/>
      <c r="C64" s="57"/>
      <c r="D64" s="14"/>
      <c r="E64" s="60"/>
      <c r="F64" s="58"/>
      <c r="G64" s="58"/>
      <c r="H64" s="65"/>
      <c r="I64" s="65"/>
      <c r="J64" s="65"/>
    </row>
    <row r="65" spans="2:10" ht="30" x14ac:dyDescent="0.25">
      <c r="B65" s="71"/>
      <c r="C65" s="72">
        <v>45</v>
      </c>
      <c r="D65" s="46">
        <v>12</v>
      </c>
      <c r="E65" s="73" t="s">
        <v>88</v>
      </c>
      <c r="F65" s="74">
        <f t="shared" ref="F65:J66" si="22">F66</f>
        <v>52341.396243944517</v>
      </c>
      <c r="G65" s="74">
        <f t="shared" si="22"/>
        <v>6636.14</v>
      </c>
      <c r="H65" s="75">
        <f t="shared" si="22"/>
        <v>0</v>
      </c>
      <c r="I65" s="75">
        <f t="shared" si="22"/>
        <v>0</v>
      </c>
      <c r="J65" s="75">
        <f t="shared" si="22"/>
        <v>0</v>
      </c>
    </row>
    <row r="66" spans="2:10" ht="30" x14ac:dyDescent="0.25">
      <c r="B66" s="71"/>
      <c r="C66" s="71">
        <v>451</v>
      </c>
      <c r="D66" s="46">
        <v>12</v>
      </c>
      <c r="E66" s="73" t="s">
        <v>89</v>
      </c>
      <c r="F66" s="74">
        <f t="shared" si="22"/>
        <v>52341.396243944517</v>
      </c>
      <c r="G66" s="74">
        <f t="shared" si="22"/>
        <v>6636.14</v>
      </c>
      <c r="H66" s="75">
        <f t="shared" si="22"/>
        <v>0</v>
      </c>
      <c r="I66" s="75">
        <f t="shared" si="22"/>
        <v>0</v>
      </c>
      <c r="J66" s="75">
        <f t="shared" si="22"/>
        <v>0</v>
      </c>
    </row>
    <row r="67" spans="2:10" x14ac:dyDescent="0.25">
      <c r="B67" s="57"/>
      <c r="C67" s="57">
        <v>4511</v>
      </c>
      <c r="D67" s="14">
        <v>12</v>
      </c>
      <c r="E67" s="60" t="s">
        <v>85</v>
      </c>
      <c r="F67" s="58">
        <f>394366.25/7.5345</f>
        <v>52341.396243944517</v>
      </c>
      <c r="G67" s="58">
        <v>6636.14</v>
      </c>
      <c r="H67" s="65"/>
      <c r="I67" s="65"/>
      <c r="J67" s="65"/>
    </row>
    <row r="68" spans="2:10" x14ac:dyDescent="0.25">
      <c r="B68" s="57"/>
      <c r="C68" s="57"/>
      <c r="D68" s="14"/>
      <c r="E68" s="60"/>
      <c r="F68" s="58"/>
      <c r="G68" s="58"/>
      <c r="H68" s="65"/>
      <c r="I68" s="65"/>
      <c r="J68" s="65"/>
    </row>
    <row r="69" spans="2:10" ht="51" x14ac:dyDescent="0.25">
      <c r="B69" s="71" t="s">
        <v>182</v>
      </c>
      <c r="C69" s="70" t="s">
        <v>170</v>
      </c>
      <c r="D69" s="46">
        <v>17</v>
      </c>
      <c r="E69" s="60"/>
      <c r="F69" s="58"/>
      <c r="G69" s="58"/>
      <c r="H69" s="65"/>
      <c r="I69" s="65"/>
      <c r="J69" s="65"/>
    </row>
    <row r="70" spans="2:10" ht="38.25" x14ac:dyDescent="0.25">
      <c r="B70" s="13"/>
      <c r="C70" s="32">
        <v>37</v>
      </c>
      <c r="D70" s="46">
        <v>17</v>
      </c>
      <c r="E70" s="70" t="s">
        <v>123</v>
      </c>
      <c r="F70" s="132"/>
      <c r="G70" s="126"/>
      <c r="H70" s="64">
        <v>3128</v>
      </c>
      <c r="I70" s="64">
        <v>3128</v>
      </c>
      <c r="J70" s="64">
        <v>3128</v>
      </c>
    </row>
    <row r="71" spans="2:10" ht="25.5" x14ac:dyDescent="0.25">
      <c r="B71" s="32"/>
      <c r="C71" s="32">
        <v>372</v>
      </c>
      <c r="D71" s="46">
        <v>17</v>
      </c>
      <c r="E71" s="70" t="s">
        <v>124</v>
      </c>
      <c r="F71" s="132">
        <f>SUM(F72:F72)</f>
        <v>0</v>
      </c>
      <c r="G71" s="132">
        <f>SUM(G72:G72)</f>
        <v>0</v>
      </c>
      <c r="H71" s="62">
        <f>SUM(H72:H72)</f>
        <v>3128</v>
      </c>
      <c r="I71" s="62">
        <f>SUM(I72:I72)</f>
        <v>3128</v>
      </c>
      <c r="J71" s="62">
        <f>SUM(J72:J72)</f>
        <v>3128</v>
      </c>
    </row>
    <row r="72" spans="2:10" ht="25.5" x14ac:dyDescent="0.25">
      <c r="B72" s="13"/>
      <c r="C72" s="13">
        <v>3721</v>
      </c>
      <c r="D72" s="14">
        <v>17</v>
      </c>
      <c r="E72" s="20" t="s">
        <v>185</v>
      </c>
      <c r="F72" s="131"/>
      <c r="G72" s="127"/>
      <c r="H72" s="63">
        <v>3128</v>
      </c>
      <c r="I72" s="63">
        <v>3128</v>
      </c>
      <c r="J72" s="63">
        <v>3128</v>
      </c>
    </row>
    <row r="73" spans="2:10" x14ac:dyDescent="0.25">
      <c r="B73" s="57"/>
      <c r="C73" s="57"/>
      <c r="D73" s="14"/>
      <c r="E73" s="60"/>
      <c r="F73" s="58"/>
      <c r="G73" s="58"/>
      <c r="H73" s="65"/>
      <c r="I73" s="65"/>
      <c r="J73" s="65"/>
    </row>
    <row r="74" spans="2:10" ht="15.75" thickBot="1" x14ac:dyDescent="0.3">
      <c r="B74" s="201"/>
      <c r="C74" s="201"/>
      <c r="D74" s="202"/>
      <c r="E74" s="203"/>
      <c r="F74" s="204"/>
      <c r="G74" s="204"/>
      <c r="H74" s="205"/>
      <c r="I74" s="205"/>
      <c r="J74" s="205"/>
    </row>
    <row r="75" spans="2:10" x14ac:dyDescent="0.25">
      <c r="B75" s="200"/>
      <c r="C75" s="206">
        <v>501</v>
      </c>
      <c r="D75" s="207"/>
      <c r="E75" s="208" t="s">
        <v>180</v>
      </c>
      <c r="F75" s="209">
        <f t="shared" ref="F75" si="23">F76+F111+F119+F102</f>
        <v>1007033.2828986662</v>
      </c>
      <c r="G75" s="209">
        <v>1096887.6499999999</v>
      </c>
      <c r="H75" s="209">
        <f>H76</f>
        <v>1392558.2593251048</v>
      </c>
      <c r="I75" s="209">
        <f t="shared" ref="I75:J75" si="24">I76</f>
        <v>1392558.2593251048</v>
      </c>
      <c r="J75" s="209">
        <f t="shared" si="24"/>
        <v>1392558.2593251048</v>
      </c>
    </row>
    <row r="76" spans="2:10" x14ac:dyDescent="0.25">
      <c r="B76" s="57"/>
      <c r="C76" s="57"/>
      <c r="D76" s="57"/>
      <c r="E76" s="57"/>
      <c r="F76" s="126">
        <f>F77+F133+F125</f>
        <v>1006596.624858982</v>
      </c>
      <c r="G76" s="126">
        <f>G77+G133+G125</f>
        <v>1094233.1939743846</v>
      </c>
      <c r="H76" s="126">
        <f>H77+H111+H118+H102+H119+H123+H127+H136</f>
        <v>1392558.2593251048</v>
      </c>
      <c r="I76" s="126">
        <f t="shared" ref="I76:J76" si="25">I77+I111+I118+I102+I119+I123+I127+I136</f>
        <v>1392558.2593251048</v>
      </c>
      <c r="J76" s="126">
        <f t="shared" si="25"/>
        <v>1392558.2593251048</v>
      </c>
    </row>
    <row r="77" spans="2:10" ht="63.75" x14ac:dyDescent="0.25">
      <c r="B77" s="12" t="s">
        <v>172</v>
      </c>
      <c r="C77" s="70" t="s">
        <v>173</v>
      </c>
      <c r="D77" s="17"/>
      <c r="E77" s="17"/>
      <c r="F77" s="64">
        <f>F81+F89</f>
        <v>983945.63541044539</v>
      </c>
      <c r="G77" s="64">
        <f>G81+G89</f>
        <v>1069679.4744176785</v>
      </c>
      <c r="H77" s="64">
        <f>H81+H89</f>
        <v>1358504.2139491672</v>
      </c>
      <c r="I77" s="64">
        <f>I81+I89</f>
        <v>1358504.2139491672</v>
      </c>
      <c r="J77" s="64">
        <f>J81+J89</f>
        <v>1358504.2139491672</v>
      </c>
    </row>
    <row r="78" spans="2:10" x14ac:dyDescent="0.25">
      <c r="B78" s="57"/>
      <c r="C78" s="57"/>
      <c r="D78" s="60"/>
      <c r="E78" s="57"/>
      <c r="F78" s="58"/>
      <c r="G78" s="58"/>
      <c r="H78" s="65"/>
      <c r="I78" s="65"/>
      <c r="J78" s="65"/>
    </row>
    <row r="79" spans="2:10" x14ac:dyDescent="0.25">
      <c r="B79" s="12"/>
      <c r="C79" s="12"/>
      <c r="D79" s="70">
        <v>501</v>
      </c>
      <c r="E79" s="12"/>
      <c r="F79" s="55"/>
      <c r="G79" s="55"/>
      <c r="H79"/>
      <c r="I79"/>
      <c r="J79"/>
    </row>
    <row r="80" spans="2:10" x14ac:dyDescent="0.25">
      <c r="B80" s="12">
        <v>3</v>
      </c>
      <c r="C80" s="12"/>
      <c r="D80" s="70">
        <v>501</v>
      </c>
      <c r="E80" s="12"/>
      <c r="F80" s="55"/>
      <c r="G80" s="55"/>
      <c r="H80"/>
      <c r="I80"/>
      <c r="J80"/>
    </row>
    <row r="81" spans="2:10" x14ac:dyDescent="0.25">
      <c r="B81" s="12"/>
      <c r="C81" s="12">
        <v>31</v>
      </c>
      <c r="D81" s="70">
        <v>501</v>
      </c>
      <c r="E81" s="70" t="s">
        <v>23</v>
      </c>
      <c r="F81" s="126">
        <f>F82+F84+F86</f>
        <v>944140.71139425319</v>
      </c>
      <c r="G81" s="126">
        <f>G82+G84+G86</f>
        <v>1029484.3718893091</v>
      </c>
      <c r="H81" s="64">
        <f>H82+H84+H86</f>
        <v>1313955.803304798</v>
      </c>
      <c r="I81" s="64">
        <f t="shared" ref="I81:J81" si="26">I82+I84+I86</f>
        <v>1313955.803304798</v>
      </c>
      <c r="J81" s="64">
        <f t="shared" si="26"/>
        <v>1313955.803304798</v>
      </c>
    </row>
    <row r="82" spans="2:10" x14ac:dyDescent="0.25">
      <c r="B82" s="12"/>
      <c r="C82" s="12">
        <v>311</v>
      </c>
      <c r="D82" s="70">
        <v>501</v>
      </c>
      <c r="E82" s="70" t="s">
        <v>109</v>
      </c>
      <c r="F82" s="132">
        <f>SUM(F83)</f>
        <v>781459.61112217139</v>
      </c>
      <c r="G82" s="132">
        <f>SUM(G83)</f>
        <v>855796.6686575088</v>
      </c>
      <c r="H82" s="62">
        <f>SUM(H83)</f>
        <v>1088327.0289999335</v>
      </c>
      <c r="I82" s="62">
        <f t="shared" ref="I82:J82" si="27">SUM(I83)</f>
        <v>1088327.0289999335</v>
      </c>
      <c r="J82" s="62">
        <f t="shared" si="27"/>
        <v>1088327.0289999335</v>
      </c>
    </row>
    <row r="83" spans="2:10" x14ac:dyDescent="0.25">
      <c r="B83" s="12"/>
      <c r="C83" s="17">
        <v>3111</v>
      </c>
      <c r="D83" s="20">
        <v>501</v>
      </c>
      <c r="E83" s="20" t="s">
        <v>110</v>
      </c>
      <c r="F83" s="131">
        <f>5887907.44/7.5345</f>
        <v>781459.61112217139</v>
      </c>
      <c r="G83" s="127">
        <f>6448000/7.5345</f>
        <v>855796.6686575088</v>
      </c>
      <c r="H83" s="63">
        <f>8200000/7.5345</f>
        <v>1088327.0289999335</v>
      </c>
      <c r="I83" s="63">
        <f t="shared" ref="I83:J83" si="28">8200000/7.5345</f>
        <v>1088327.0289999335</v>
      </c>
      <c r="J83" s="63">
        <f t="shared" si="28"/>
        <v>1088327.0289999335</v>
      </c>
    </row>
    <row r="84" spans="2:10" x14ac:dyDescent="0.25">
      <c r="B84" s="12"/>
      <c r="C84" s="12">
        <v>312</v>
      </c>
      <c r="D84" s="70">
        <v>501</v>
      </c>
      <c r="E84" s="70" t="s">
        <v>111</v>
      </c>
      <c r="F84" s="132">
        <f>SUM(F85)</f>
        <v>33259.313823080491</v>
      </c>
      <c r="G84" s="132">
        <f t="shared" ref="G84:J84" si="29">SUM(G85)</f>
        <v>35835.158271949032</v>
      </c>
      <c r="H84" s="62">
        <f t="shared" si="29"/>
        <v>39816.842524387816</v>
      </c>
      <c r="I84" s="62">
        <f t="shared" si="29"/>
        <v>39816.842524387816</v>
      </c>
      <c r="J84" s="62">
        <f t="shared" si="29"/>
        <v>39816.842524387816</v>
      </c>
    </row>
    <row r="85" spans="2:10" x14ac:dyDescent="0.25">
      <c r="B85" s="12"/>
      <c r="C85" s="17">
        <v>3121</v>
      </c>
      <c r="D85" s="20">
        <v>501</v>
      </c>
      <c r="E85" s="20" t="s">
        <v>111</v>
      </c>
      <c r="F85" s="131">
        <f>250592.3/7.5345</f>
        <v>33259.313823080491</v>
      </c>
      <c r="G85" s="127">
        <f>270000/7.5345</f>
        <v>35835.158271949032</v>
      </c>
      <c r="H85" s="63">
        <f>300000/7.5345</f>
        <v>39816.842524387816</v>
      </c>
      <c r="I85" s="63">
        <f t="shared" ref="I85:J85" si="30">300000/7.5345</f>
        <v>39816.842524387816</v>
      </c>
      <c r="J85" s="63">
        <f t="shared" si="30"/>
        <v>39816.842524387816</v>
      </c>
    </row>
    <row r="86" spans="2:10" x14ac:dyDescent="0.25">
      <c r="B86" s="12"/>
      <c r="C86" s="12">
        <v>313</v>
      </c>
      <c r="D86" s="70">
        <v>501</v>
      </c>
      <c r="E86" s="70" t="s">
        <v>112</v>
      </c>
      <c r="F86" s="132">
        <f>SUM(F87)</f>
        <v>129421.78644900124</v>
      </c>
      <c r="G86" s="132">
        <f t="shared" ref="G86:I86" si="31">SUM(G87)</f>
        <v>137852.54495985134</v>
      </c>
      <c r="H86" s="62">
        <f t="shared" si="31"/>
        <v>185811.93178047647</v>
      </c>
      <c r="I86" s="62">
        <f t="shared" si="31"/>
        <v>185811.93178047647</v>
      </c>
      <c r="J86" s="62">
        <f>SUM(J87)</f>
        <v>185811.93178047647</v>
      </c>
    </row>
    <row r="87" spans="2:10" ht="26.25" thickBot="1" x14ac:dyDescent="0.3">
      <c r="B87" s="168"/>
      <c r="C87" s="169">
        <v>3132</v>
      </c>
      <c r="D87" s="170">
        <v>501</v>
      </c>
      <c r="E87" s="170" t="s">
        <v>113</v>
      </c>
      <c r="F87" s="138">
        <f>975128.45/7.5345</f>
        <v>129421.78644900124</v>
      </c>
      <c r="G87" s="171">
        <f>1038650/7.5345</f>
        <v>137852.54495985134</v>
      </c>
      <c r="H87" s="172">
        <f>1400000/7.5345</f>
        <v>185811.93178047647</v>
      </c>
      <c r="I87" s="172">
        <f t="shared" ref="I87:J87" si="32">1400000/7.5345</f>
        <v>185811.93178047647</v>
      </c>
      <c r="J87" s="172">
        <f t="shared" si="32"/>
        <v>185811.93178047647</v>
      </c>
    </row>
    <row r="88" spans="2:10" ht="15.75" thickBot="1" x14ac:dyDescent="0.3">
      <c r="B88" s="177">
        <v>501</v>
      </c>
      <c r="C88" s="178">
        <v>32</v>
      </c>
      <c r="D88" s="178"/>
      <c r="E88" s="178"/>
      <c r="F88" s="179">
        <f t="shared" ref="F88" si="33">F89+F102++F111+F119</f>
        <v>40241.582055876301</v>
      </c>
      <c r="G88" s="179">
        <f>G89+G102++G111+G119</f>
        <v>43008.826066759568</v>
      </c>
      <c r="H88" s="179">
        <f>H89+H102++H111+H119</f>
        <v>47375.406463600768</v>
      </c>
      <c r="I88" s="179">
        <f t="shared" ref="I88:J88" si="34">I89+I102++I111+I119</f>
        <v>47375.406463600768</v>
      </c>
      <c r="J88" s="180">
        <f t="shared" si="34"/>
        <v>47375.406463600768</v>
      </c>
    </row>
    <row r="89" spans="2:10" x14ac:dyDescent="0.25">
      <c r="B89" s="173"/>
      <c r="C89" s="173">
        <v>32</v>
      </c>
      <c r="D89" s="174">
        <v>501</v>
      </c>
      <c r="E89" s="174" t="s">
        <v>114</v>
      </c>
      <c r="F89" s="175">
        <f>F90+F92+F94</f>
        <v>39804.924016192184</v>
      </c>
      <c r="G89" s="175">
        <f>G90+G92+G94</f>
        <v>40195.102528369498</v>
      </c>
      <c r="H89" s="176">
        <f>H90+H92+H94</f>
        <v>44548.410644369236</v>
      </c>
      <c r="I89" s="176">
        <f>I90+I92+I94</f>
        <v>44548.410644369236</v>
      </c>
      <c r="J89" s="176">
        <f>J90+J92+J94</f>
        <v>44548.410644369236</v>
      </c>
    </row>
    <row r="90" spans="2:10" ht="25.5" x14ac:dyDescent="0.25">
      <c r="B90" s="12"/>
      <c r="C90" s="12">
        <v>321</v>
      </c>
      <c r="D90" s="70">
        <v>501</v>
      </c>
      <c r="E90" s="70" t="s">
        <v>115</v>
      </c>
      <c r="F90" s="126">
        <f>F91</f>
        <v>36994.518548012478</v>
      </c>
      <c r="G90" s="126">
        <f>G91+G102</f>
        <v>35357.356161656375</v>
      </c>
      <c r="H90" s="64">
        <f>H91</f>
        <v>39816.842524387816</v>
      </c>
      <c r="I90" s="64">
        <f t="shared" ref="I90:J90" si="35">I91</f>
        <v>39816.842524387816</v>
      </c>
      <c r="J90" s="64">
        <f t="shared" si="35"/>
        <v>39816.842524387816</v>
      </c>
    </row>
    <row r="91" spans="2:10" x14ac:dyDescent="0.25">
      <c r="B91" s="12"/>
      <c r="C91" s="17">
        <v>3212</v>
      </c>
      <c r="D91" s="20">
        <v>501</v>
      </c>
      <c r="E91" s="20" t="s">
        <v>116</v>
      </c>
      <c r="F91" s="131">
        <f>278735.2/7.5345</f>
        <v>36994.518548012478</v>
      </c>
      <c r="G91" s="127">
        <f>266000/7.5345</f>
        <v>35304.267038290527</v>
      </c>
      <c r="H91" s="63">
        <f>300000/7.5345</f>
        <v>39816.842524387816</v>
      </c>
      <c r="I91" s="63">
        <f t="shared" ref="I91:J91" si="36">300000/7.5345</f>
        <v>39816.842524387816</v>
      </c>
      <c r="J91" s="63">
        <f t="shared" si="36"/>
        <v>39816.842524387816</v>
      </c>
    </row>
    <row r="92" spans="2:10" x14ac:dyDescent="0.25">
      <c r="B92" s="12"/>
      <c r="C92" s="12">
        <v>323</v>
      </c>
      <c r="D92" s="70">
        <v>501</v>
      </c>
      <c r="E92" s="70" t="s">
        <v>117</v>
      </c>
      <c r="F92" s="64">
        <f>F93</f>
        <v>0</v>
      </c>
      <c r="G92" s="64">
        <f t="shared" ref="G92" si="37">G93</f>
        <v>1944.3891432742716</v>
      </c>
      <c r="H92" s="64">
        <f>H93</f>
        <v>1944.3891432742716</v>
      </c>
      <c r="I92" s="64">
        <f t="shared" ref="I92:J92" si="38">I93</f>
        <v>1944.3891432742716</v>
      </c>
      <c r="J92" s="64">
        <f t="shared" si="38"/>
        <v>1944.3891432742716</v>
      </c>
    </row>
    <row r="93" spans="2:10" ht="25.5" x14ac:dyDescent="0.25">
      <c r="B93" s="17"/>
      <c r="C93" s="17">
        <v>3236</v>
      </c>
      <c r="D93" s="20">
        <v>501</v>
      </c>
      <c r="E93" s="20" t="s">
        <v>118</v>
      </c>
      <c r="F93" s="66"/>
      <c r="G93" s="127">
        <f>14650/7.5345</f>
        <v>1944.3891432742716</v>
      </c>
      <c r="H93" s="63">
        <f>14650/7.5345</f>
        <v>1944.3891432742716</v>
      </c>
      <c r="I93" s="63">
        <f t="shared" ref="I93:J93" si="39">14650/7.5345</f>
        <v>1944.3891432742716</v>
      </c>
      <c r="J93" s="63">
        <f t="shared" si="39"/>
        <v>1944.3891432742716</v>
      </c>
    </row>
    <row r="94" spans="2:10" ht="25.5" x14ac:dyDescent="0.25">
      <c r="B94" s="12"/>
      <c r="C94" s="12">
        <v>329</v>
      </c>
      <c r="D94" s="70">
        <v>501</v>
      </c>
      <c r="E94" s="70" t="s">
        <v>119</v>
      </c>
      <c r="F94" s="64">
        <f>F95+F119</f>
        <v>2810.4054681797065</v>
      </c>
      <c r="G94" s="64">
        <f t="shared" ref="G94" si="40">G95+G119</f>
        <v>2893.3572234388475</v>
      </c>
      <c r="H94" s="64">
        <f>H95</f>
        <v>2787.1789767071468</v>
      </c>
      <c r="I94" s="64">
        <f t="shared" ref="I94:J94" si="41">I95</f>
        <v>2787.1789767071468</v>
      </c>
      <c r="J94" s="64">
        <f t="shared" si="41"/>
        <v>2787.1789767071468</v>
      </c>
    </row>
    <row r="95" spans="2:10" ht="25.5" x14ac:dyDescent="0.25">
      <c r="B95" s="12"/>
      <c r="C95" s="17">
        <v>32955</v>
      </c>
      <c r="D95" s="20">
        <v>501</v>
      </c>
      <c r="E95" s="20" t="s">
        <v>120</v>
      </c>
      <c r="F95" s="131">
        <f>21175/7.5345</f>
        <v>2810.4054681797065</v>
      </c>
      <c r="G95" s="127">
        <f>21000/7.5345</f>
        <v>2787.1789767071468</v>
      </c>
      <c r="H95" s="63">
        <f>21000/7.5345</f>
        <v>2787.1789767071468</v>
      </c>
      <c r="I95" s="63">
        <f t="shared" ref="I95:J95" si="42">21000/7.5345</f>
        <v>2787.1789767071468</v>
      </c>
      <c r="J95" s="63">
        <f t="shared" si="42"/>
        <v>2787.1789767071468</v>
      </c>
    </row>
    <row r="96" spans="2:10" ht="51" x14ac:dyDescent="0.25">
      <c r="B96" s="12" t="s">
        <v>175</v>
      </c>
      <c r="C96" s="12" t="s">
        <v>176</v>
      </c>
      <c r="D96" s="70"/>
      <c r="E96" s="70"/>
      <c r="F96" s="64">
        <f t="shared" ref="F96" si="43">F97+F133</f>
        <v>46291.926471564133</v>
      </c>
      <c r="G96" s="64">
        <f>G97+G133</f>
        <v>65397.821493795214</v>
      </c>
      <c r="H96" s="64">
        <f>H97+H133</f>
        <v>73584.430089587899</v>
      </c>
      <c r="I96" s="64">
        <f t="shared" ref="I96:J96" si="44">I97+I133</f>
        <v>69393.100089587897</v>
      </c>
      <c r="J96" s="64">
        <f t="shared" si="44"/>
        <v>69393.100089587897</v>
      </c>
    </row>
    <row r="97" spans="2:10" ht="25.5" x14ac:dyDescent="0.25">
      <c r="B97" s="12"/>
      <c r="C97" s="12" t="s">
        <v>174</v>
      </c>
      <c r="D97" s="70"/>
      <c r="E97" s="70" t="s">
        <v>177</v>
      </c>
      <c r="F97" s="158">
        <f t="shared" ref="F97:G97" si="45">F98+F125</f>
        <v>38460.126086667988</v>
      </c>
      <c r="G97" s="158">
        <f t="shared" si="45"/>
        <v>57434.452988917648</v>
      </c>
      <c r="H97" s="158">
        <f>H98+H125+H121</f>
        <v>65621.061584710333</v>
      </c>
      <c r="I97" s="158">
        <f t="shared" ref="I97:J97" si="46">I98+I125</f>
        <v>61429.731584710338</v>
      </c>
      <c r="J97" s="158">
        <f t="shared" si="46"/>
        <v>61429.731584710338</v>
      </c>
    </row>
    <row r="98" spans="2:10" x14ac:dyDescent="0.25">
      <c r="B98" s="12"/>
      <c r="C98" s="12">
        <v>32</v>
      </c>
      <c r="D98" s="70">
        <v>501</v>
      </c>
      <c r="E98" s="70"/>
      <c r="F98" s="126">
        <f>F101+F102+F103+F109+F116</f>
        <v>23640.937023027403</v>
      </c>
      <c r="G98" s="126">
        <f>G101+G102+G103+G109+G116</f>
        <v>40844.101937089392</v>
      </c>
      <c r="H98" s="126">
        <f>H101+H102+H103+H109+H116</f>
        <v>44839.380532882082</v>
      </c>
      <c r="I98" s="126">
        <f>I101+I102+I103+I109+I116</f>
        <v>44839.380532882082</v>
      </c>
      <c r="J98" s="126">
        <f>J101+J102+J103+J109+J116</f>
        <v>44839.380532882082</v>
      </c>
    </row>
    <row r="99" spans="2:10" x14ac:dyDescent="0.25">
      <c r="B99" s="12"/>
      <c r="C99" s="12"/>
      <c r="D99" s="70"/>
      <c r="E99" s="70"/>
      <c r="F99" s="126"/>
      <c r="G99" s="126"/>
      <c r="H99" s="126"/>
      <c r="I99" s="126"/>
      <c r="J99" s="126"/>
    </row>
    <row r="100" spans="2:10" ht="25.5" x14ac:dyDescent="0.25">
      <c r="B100" s="12"/>
      <c r="C100" s="12">
        <v>321</v>
      </c>
      <c r="D100" s="70"/>
      <c r="E100" s="70" t="s">
        <v>115</v>
      </c>
      <c r="F100" s="126">
        <f>F101+F102</f>
        <v>346.93742119583248</v>
      </c>
      <c r="G100" s="126">
        <f>G101+G102</f>
        <v>132.72280841462606</v>
      </c>
      <c r="H100" s="64">
        <f>H101+H102</f>
        <v>146.00140420731304</v>
      </c>
      <c r="I100" s="64">
        <f>I101+I102</f>
        <v>146.00140420731304</v>
      </c>
      <c r="J100" s="64">
        <f t="shared" ref="J100" si="47">J101+J102</f>
        <v>146.00140420731304</v>
      </c>
    </row>
    <row r="101" spans="2:10" ht="28.15" customHeight="1" x14ac:dyDescent="0.25">
      <c r="B101" s="17"/>
      <c r="C101" s="81">
        <v>3211</v>
      </c>
      <c r="D101" s="81">
        <v>31</v>
      </c>
      <c r="E101" s="81" t="s">
        <v>63</v>
      </c>
      <c r="F101" s="131">
        <f>2614/7.5345</f>
        <v>346.93742119583248</v>
      </c>
      <c r="G101" s="82">
        <f>600/7.5345</f>
        <v>79.633685048775632</v>
      </c>
      <c r="H101" s="63">
        <v>79.64</v>
      </c>
      <c r="I101" s="63">
        <v>79.64</v>
      </c>
      <c r="J101" s="63">
        <v>79.64</v>
      </c>
    </row>
    <row r="102" spans="2:10" ht="17.45" customHeight="1" x14ac:dyDescent="0.25">
      <c r="B102" s="17"/>
      <c r="C102" s="17">
        <v>3211</v>
      </c>
      <c r="D102" s="20">
        <v>501</v>
      </c>
      <c r="E102" s="20" t="s">
        <v>121</v>
      </c>
      <c r="F102" s="133">
        <v>0</v>
      </c>
      <c r="G102" s="127">
        <f>400/7.5345</f>
        <v>53.089123365850419</v>
      </c>
      <c r="H102" s="63">
        <f>500/7.5345</f>
        <v>66.361404207313029</v>
      </c>
      <c r="I102" s="63">
        <f t="shared" ref="I102:J102" si="48">500/7.5345</f>
        <v>66.361404207313029</v>
      </c>
      <c r="J102" s="63">
        <f t="shared" si="48"/>
        <v>66.361404207313029</v>
      </c>
    </row>
    <row r="103" spans="2:10" x14ac:dyDescent="0.25">
      <c r="B103" s="12"/>
      <c r="C103" s="12">
        <v>322</v>
      </c>
      <c r="D103" s="70"/>
      <c r="E103" s="70" t="s">
        <v>114</v>
      </c>
      <c r="F103" s="134">
        <f>SUM(F104:F108)</f>
        <v>22007.59041741323</v>
      </c>
      <c r="G103" s="134">
        <f t="shared" ref="G103:J103" si="49">SUM(G104:G108)</f>
        <v>33890.769128674765</v>
      </c>
      <c r="H103" s="134">
        <f>SUM(H104:H108)</f>
        <v>33890.769128674765</v>
      </c>
      <c r="I103" s="134">
        <f t="shared" si="49"/>
        <v>33890.769128674765</v>
      </c>
      <c r="J103" s="134">
        <f t="shared" si="49"/>
        <v>33890.769128674765</v>
      </c>
    </row>
    <row r="104" spans="2:10" x14ac:dyDescent="0.25">
      <c r="B104" s="59"/>
      <c r="C104" s="60">
        <v>3221</v>
      </c>
      <c r="D104" s="60">
        <v>31</v>
      </c>
      <c r="E104" s="60" t="s">
        <v>66</v>
      </c>
      <c r="F104" s="83"/>
      <c r="G104" s="83">
        <f>3000/7.5345</f>
        <v>398.16842524387812</v>
      </c>
      <c r="H104" s="114">
        <f>3000/7.5345</f>
        <v>398.16842524387812</v>
      </c>
      <c r="I104" s="114">
        <f t="shared" ref="I104:J104" si="50">3000/7.5345</f>
        <v>398.16842524387812</v>
      </c>
      <c r="J104" s="114">
        <f t="shared" si="50"/>
        <v>398.16842524387812</v>
      </c>
    </row>
    <row r="105" spans="2:10" ht="33.6" customHeight="1" x14ac:dyDescent="0.25">
      <c r="B105" s="57"/>
      <c r="C105" s="60">
        <v>3222</v>
      </c>
      <c r="D105" s="60">
        <v>412</v>
      </c>
      <c r="E105" s="60" t="s">
        <v>136</v>
      </c>
      <c r="F105" s="83">
        <f>137675.5/7.5345</f>
        <v>18272.679009887848</v>
      </c>
      <c r="G105" s="83">
        <f>185400/7.5345</f>
        <v>24606.80868007167</v>
      </c>
      <c r="H105" s="114">
        <f>185400/7.5345</f>
        <v>24606.80868007167</v>
      </c>
      <c r="I105" s="114">
        <f t="shared" ref="I105:J105" si="51">185400/7.5345</f>
        <v>24606.80868007167</v>
      </c>
      <c r="J105" s="114">
        <f t="shared" si="51"/>
        <v>24606.80868007167</v>
      </c>
    </row>
    <row r="106" spans="2:10" x14ac:dyDescent="0.25">
      <c r="B106" s="57"/>
      <c r="C106" s="60">
        <v>3223</v>
      </c>
      <c r="D106" s="60">
        <v>412</v>
      </c>
      <c r="E106" s="60" t="s">
        <v>68</v>
      </c>
      <c r="F106" s="83">
        <f>26041.23/7.5345</f>
        <v>3456.2651801712123</v>
      </c>
      <c r="G106" s="83">
        <f>66950/7.5345</f>
        <v>8885.792023359214</v>
      </c>
      <c r="H106" s="114">
        <f>66950/7.5345</f>
        <v>8885.792023359214</v>
      </c>
      <c r="I106" s="114">
        <f t="shared" ref="I106:J106" si="52">66950/7.5345</f>
        <v>8885.792023359214</v>
      </c>
      <c r="J106" s="114">
        <f t="shared" si="52"/>
        <v>8885.792023359214</v>
      </c>
    </row>
    <row r="107" spans="2:10" x14ac:dyDescent="0.25">
      <c r="B107" s="59"/>
      <c r="C107" s="60">
        <v>3223</v>
      </c>
      <c r="D107" s="60">
        <v>31</v>
      </c>
      <c r="E107" s="60" t="s">
        <v>68</v>
      </c>
      <c r="F107" s="83">
        <f>2081.46/7.5345</f>
        <v>276.25721680270755</v>
      </c>
      <c r="G107" s="83"/>
      <c r="H107" s="75"/>
      <c r="I107" s="75"/>
      <c r="J107" s="75"/>
    </row>
    <row r="108" spans="2:10" x14ac:dyDescent="0.25">
      <c r="B108" s="59"/>
      <c r="C108" s="60">
        <v>3225</v>
      </c>
      <c r="D108" s="60">
        <v>31</v>
      </c>
      <c r="E108" s="60" t="s">
        <v>70</v>
      </c>
      <c r="F108" s="83">
        <f>18/7.5345</f>
        <v>2.3890105514632687</v>
      </c>
      <c r="G108" s="83"/>
      <c r="H108" s="75"/>
      <c r="I108" s="75"/>
      <c r="J108" s="75"/>
    </row>
    <row r="109" spans="2:10" x14ac:dyDescent="0.25">
      <c r="B109"/>
      <c r="C109" s="123">
        <v>323</v>
      </c>
      <c r="D109" s="149"/>
      <c r="E109" s="122" t="s">
        <v>117</v>
      </c>
      <c r="F109" s="66">
        <f>SUM(F110:F115)</f>
        <v>1286.4091844183422</v>
      </c>
      <c r="G109" s="66">
        <v>6555.17</v>
      </c>
      <c r="H109" s="66">
        <v>6555.17</v>
      </c>
      <c r="I109" s="66">
        <v>6555.17</v>
      </c>
      <c r="J109" s="66">
        <v>6555.17</v>
      </c>
    </row>
    <row r="110" spans="2:10" ht="15.6" customHeight="1" x14ac:dyDescent="0.25">
      <c r="B110" s="59"/>
      <c r="C110" s="60">
        <v>3231</v>
      </c>
      <c r="D110" s="60">
        <v>31</v>
      </c>
      <c r="E110" s="60" t="s">
        <v>133</v>
      </c>
      <c r="F110" s="83"/>
      <c r="G110" s="83">
        <f>12000/7.5345</f>
        <v>1592.6737009755125</v>
      </c>
      <c r="H110" s="114">
        <f>12000/7.5345</f>
        <v>1592.6737009755125</v>
      </c>
      <c r="I110" s="114">
        <f t="shared" ref="I110:J110" si="53">12000/7.5345</f>
        <v>1592.6737009755125</v>
      </c>
      <c r="J110" s="114">
        <f t="shared" si="53"/>
        <v>1592.6737009755125</v>
      </c>
    </row>
    <row r="111" spans="2:10" x14ac:dyDescent="0.25">
      <c r="B111" s="17"/>
      <c r="C111" s="17">
        <v>3232</v>
      </c>
      <c r="D111" s="20">
        <v>501</v>
      </c>
      <c r="E111" s="20" t="s">
        <v>122</v>
      </c>
      <c r="F111" s="131">
        <f>3290/7.5345</f>
        <v>436.65803968411967</v>
      </c>
      <c r="G111" s="127">
        <f>20000/7.5345</f>
        <v>2654.4561682925209</v>
      </c>
      <c r="H111" s="63">
        <f>20000/7.5345</f>
        <v>2654.4561682925209</v>
      </c>
      <c r="I111" s="63">
        <f t="shared" ref="I111:J111" si="54">20000/7.5345</f>
        <v>2654.4561682925209</v>
      </c>
      <c r="J111" s="63">
        <f t="shared" si="54"/>
        <v>2654.4561682925209</v>
      </c>
    </row>
    <row r="112" spans="2:10" x14ac:dyDescent="0.25">
      <c r="B112" s="59"/>
      <c r="C112" s="60">
        <v>3234</v>
      </c>
      <c r="D112" s="60">
        <v>31</v>
      </c>
      <c r="E112" s="60" t="s">
        <v>75</v>
      </c>
      <c r="F112" s="83">
        <f>853.07/7.5345</f>
        <v>113.22184617426505</v>
      </c>
      <c r="G112" s="83">
        <f>10300/7.5345</f>
        <v>1367.0449266706482</v>
      </c>
      <c r="H112" s="114">
        <f>10300/7.5345</f>
        <v>1367.0449266706482</v>
      </c>
      <c r="I112" s="114">
        <f t="shared" ref="I112:J112" si="55">10300/7.5345</f>
        <v>1367.0449266706482</v>
      </c>
      <c r="J112" s="114">
        <f t="shared" si="55"/>
        <v>1367.0449266706482</v>
      </c>
    </row>
    <row r="113" spans="2:10" x14ac:dyDescent="0.25">
      <c r="B113" s="59"/>
      <c r="C113" s="60">
        <v>3237</v>
      </c>
      <c r="D113" s="60">
        <v>31</v>
      </c>
      <c r="E113" s="60" t="s">
        <v>134</v>
      </c>
      <c r="F113" s="83"/>
      <c r="G113" s="83">
        <f>4000/7.5345</f>
        <v>530.89123365850423</v>
      </c>
      <c r="H113" s="114">
        <f>4000/7.5345</f>
        <v>530.89123365850423</v>
      </c>
      <c r="I113" s="114">
        <f t="shared" ref="I113:J113" si="56">4000/7.5345</f>
        <v>530.89123365850423</v>
      </c>
      <c r="J113" s="114">
        <f t="shared" si="56"/>
        <v>530.89123365850423</v>
      </c>
    </row>
    <row r="114" spans="2:10" ht="52.9" customHeight="1" x14ac:dyDescent="0.25">
      <c r="B114" s="17"/>
      <c r="C114" s="17">
        <v>3237</v>
      </c>
      <c r="D114" s="20">
        <v>501</v>
      </c>
      <c r="E114" s="20" t="s">
        <v>137</v>
      </c>
      <c r="F114" s="131">
        <f>3625/7.5345</f>
        <v>481.12018050301941</v>
      </c>
      <c r="G114" s="127"/>
      <c r="H114" s="64"/>
      <c r="I114" s="64"/>
      <c r="J114" s="64"/>
    </row>
    <row r="115" spans="2:10" x14ac:dyDescent="0.25">
      <c r="B115" s="57"/>
      <c r="C115" s="60">
        <v>3239</v>
      </c>
      <c r="D115" s="60">
        <v>61</v>
      </c>
      <c r="E115" s="60" t="s">
        <v>78</v>
      </c>
      <c r="F115" s="83">
        <f>1924.38/7.5345</f>
        <v>255.4091180569381</v>
      </c>
      <c r="G115" s="83">
        <f>3090/7.5345</f>
        <v>410.11347800119449</v>
      </c>
      <c r="H115" s="114">
        <f>3090/7.5345</f>
        <v>410.11347800119449</v>
      </c>
      <c r="I115" s="114">
        <f t="shared" ref="I115:J115" si="57">3090/7.5345</f>
        <v>410.11347800119449</v>
      </c>
      <c r="J115" s="114">
        <f t="shared" si="57"/>
        <v>410.11347800119449</v>
      </c>
    </row>
    <row r="116" spans="2:10" x14ac:dyDescent="0.25">
      <c r="B116"/>
      <c r="C116" s="122">
        <v>329</v>
      </c>
      <c r="D116" s="149"/>
      <c r="E116" s="46" t="s">
        <v>79</v>
      </c>
      <c r="F116" s="66">
        <f>SUM(F117:F120)</f>
        <v>0</v>
      </c>
      <c r="G116" s="66">
        <v>265.44</v>
      </c>
      <c r="H116" s="66">
        <v>4247.4399999999996</v>
      </c>
      <c r="I116" s="66">
        <v>4247.4399999999996</v>
      </c>
      <c r="J116" s="66">
        <v>4247.4399999999996</v>
      </c>
    </row>
    <row r="117" spans="2:10" x14ac:dyDescent="0.25">
      <c r="B117" s="59"/>
      <c r="C117" s="60">
        <v>3293</v>
      </c>
      <c r="D117" s="60">
        <v>31</v>
      </c>
      <c r="E117" s="60" t="s">
        <v>135</v>
      </c>
      <c r="F117" s="83"/>
      <c r="G117" s="83">
        <f>1000/7.5345</f>
        <v>132.72280841462606</v>
      </c>
      <c r="H117" s="114">
        <f>1000/7.5345</f>
        <v>132.72280841462606</v>
      </c>
      <c r="I117" s="114">
        <f t="shared" ref="I117:J117" si="58">1000/7.5345</f>
        <v>132.72280841462606</v>
      </c>
      <c r="J117" s="114">
        <f t="shared" si="58"/>
        <v>132.72280841462606</v>
      </c>
    </row>
    <row r="118" spans="2:10" x14ac:dyDescent="0.25">
      <c r="B118" s="59"/>
      <c r="C118" s="60">
        <v>3296</v>
      </c>
      <c r="D118" s="60">
        <v>501</v>
      </c>
      <c r="E118" s="60" t="s">
        <v>191</v>
      </c>
      <c r="F118" s="215"/>
      <c r="G118" s="83"/>
      <c r="H118" s="216">
        <v>3982</v>
      </c>
      <c r="I118" s="114">
        <v>3982</v>
      </c>
      <c r="J118" s="114">
        <v>3982</v>
      </c>
    </row>
    <row r="119" spans="2:10" ht="33.6" customHeight="1" x14ac:dyDescent="0.25">
      <c r="B119" s="12"/>
      <c r="C119" s="17">
        <v>3299</v>
      </c>
      <c r="D119" s="20">
        <v>501</v>
      </c>
      <c r="E119" s="20" t="s">
        <v>119</v>
      </c>
      <c r="F119" s="131"/>
      <c r="G119" s="127">
        <f>800/7.5345</f>
        <v>106.17824673170084</v>
      </c>
      <c r="H119" s="63">
        <f>800/7.5345</f>
        <v>106.17824673170084</v>
      </c>
      <c r="I119" s="63">
        <f t="shared" ref="I119:J119" si="59">800/7.5345</f>
        <v>106.17824673170084</v>
      </c>
      <c r="J119" s="63">
        <f t="shared" si="59"/>
        <v>106.17824673170084</v>
      </c>
    </row>
    <row r="120" spans="2:10" x14ac:dyDescent="0.25">
      <c r="B120" s="57"/>
      <c r="C120" s="60">
        <v>3299</v>
      </c>
      <c r="D120" s="60">
        <v>31</v>
      </c>
      <c r="E120" s="60" t="s">
        <v>79</v>
      </c>
      <c r="F120" s="83"/>
      <c r="G120" s="83">
        <f>200/7.5345</f>
        <v>26.54456168292521</v>
      </c>
      <c r="H120" s="114">
        <f>200/7.5345</f>
        <v>26.54456168292521</v>
      </c>
      <c r="I120" s="114">
        <f t="shared" ref="I120:J120" si="60">200/7.5345</f>
        <v>26.54456168292521</v>
      </c>
      <c r="J120" s="114">
        <f t="shared" si="60"/>
        <v>26.54456168292521</v>
      </c>
    </row>
    <row r="121" spans="2:10" x14ac:dyDescent="0.25">
      <c r="B121" s="57"/>
      <c r="C121" s="81">
        <v>34</v>
      </c>
      <c r="D121" s="81" t="s">
        <v>130</v>
      </c>
      <c r="E121" s="81"/>
      <c r="F121" s="82"/>
      <c r="G121" s="82"/>
      <c r="H121" s="217">
        <f>H123</f>
        <v>2691.33</v>
      </c>
      <c r="I121" s="217">
        <f t="shared" ref="I121:J121" si="61">I123</f>
        <v>2691.33</v>
      </c>
      <c r="J121" s="217">
        <f t="shared" si="61"/>
        <v>2691.33</v>
      </c>
    </row>
    <row r="122" spans="2:10" x14ac:dyDescent="0.25">
      <c r="B122" s="57"/>
      <c r="C122" s="60">
        <v>343</v>
      </c>
      <c r="D122" s="60" t="s">
        <v>131</v>
      </c>
      <c r="E122" s="60"/>
      <c r="F122" s="83"/>
      <c r="G122" s="83"/>
      <c r="H122" s="114"/>
      <c r="I122" s="114"/>
      <c r="J122" s="114"/>
    </row>
    <row r="123" spans="2:10" x14ac:dyDescent="0.25">
      <c r="B123" s="57"/>
      <c r="C123" s="60">
        <v>3433</v>
      </c>
      <c r="D123" s="60">
        <v>501</v>
      </c>
      <c r="E123" s="60" t="s">
        <v>192</v>
      </c>
      <c r="F123" s="83"/>
      <c r="G123" s="83"/>
      <c r="H123" s="216">
        <v>2691.33</v>
      </c>
      <c r="I123" s="114">
        <v>2691.33</v>
      </c>
      <c r="J123" s="114">
        <v>2691.33</v>
      </c>
    </row>
    <row r="124" spans="2:10" x14ac:dyDescent="0.25">
      <c r="B124" s="57"/>
      <c r="C124" s="60"/>
      <c r="D124" s="60"/>
      <c r="E124" s="60"/>
      <c r="F124" s="83"/>
      <c r="G124" s="83"/>
      <c r="H124" s="114"/>
      <c r="I124" s="114"/>
      <c r="J124" s="114"/>
    </row>
    <row r="125" spans="2:10" ht="38.25" x14ac:dyDescent="0.25">
      <c r="B125" s="12"/>
      <c r="C125" s="12">
        <v>37</v>
      </c>
      <c r="D125" s="70">
        <v>501</v>
      </c>
      <c r="E125" s="70" t="s">
        <v>123</v>
      </c>
      <c r="F125" s="126">
        <f>SUM(F127:F127)</f>
        <v>14819.189063640584</v>
      </c>
      <c r="G125" s="126">
        <f>SUM(G127:G127)</f>
        <v>16590.351051828256</v>
      </c>
      <c r="H125" s="64">
        <f>SUM(H127:H128)</f>
        <v>18090.351051828256</v>
      </c>
      <c r="I125" s="64">
        <f t="shared" ref="I125:J125" si="62">SUM(I127:I127)</f>
        <v>16590.351051828256</v>
      </c>
      <c r="J125" s="64">
        <f t="shared" si="62"/>
        <v>16590.351051828256</v>
      </c>
    </row>
    <row r="126" spans="2:10" ht="25.5" x14ac:dyDescent="0.25">
      <c r="B126" s="12"/>
      <c r="C126" s="12">
        <v>372</v>
      </c>
      <c r="D126" s="70">
        <v>501</v>
      </c>
      <c r="E126" s="70" t="s">
        <v>124</v>
      </c>
      <c r="F126" s="126">
        <f>SUM(F127:F127)</f>
        <v>14819.189063640584</v>
      </c>
      <c r="G126" s="126">
        <f>SUM(G127:G127)</f>
        <v>16590.351051828256</v>
      </c>
      <c r="H126" s="64">
        <f t="shared" ref="H126:J126" si="63">SUM(H127:H127)</f>
        <v>16590.351051828256</v>
      </c>
      <c r="I126" s="64">
        <f t="shared" si="63"/>
        <v>16590.351051828256</v>
      </c>
      <c r="J126" s="64">
        <f t="shared" si="63"/>
        <v>16590.351051828256</v>
      </c>
    </row>
    <row r="127" spans="2:10" ht="25.5" x14ac:dyDescent="0.25">
      <c r="B127" s="12"/>
      <c r="C127" s="17">
        <v>3722</v>
      </c>
      <c r="D127" s="20">
        <v>501</v>
      </c>
      <c r="E127" s="20" t="s">
        <v>125</v>
      </c>
      <c r="F127" s="131">
        <f>111655.18/7.5345</f>
        <v>14819.189063640584</v>
      </c>
      <c r="G127" s="127">
        <f>125000/7.5345</f>
        <v>16590.351051828256</v>
      </c>
      <c r="H127" s="63">
        <f t="shared" ref="H127:J127" si="64">125000/7.5345</f>
        <v>16590.351051828256</v>
      </c>
      <c r="I127" s="63">
        <f t="shared" si="64"/>
        <v>16590.351051828256</v>
      </c>
      <c r="J127" s="63">
        <f t="shared" si="64"/>
        <v>16590.351051828256</v>
      </c>
    </row>
    <row r="128" spans="2:10" ht="25.5" x14ac:dyDescent="0.25">
      <c r="B128" s="12"/>
      <c r="C128" s="17">
        <v>3722</v>
      </c>
      <c r="D128" s="20">
        <v>31</v>
      </c>
      <c r="E128" s="20" t="s">
        <v>125</v>
      </c>
      <c r="F128" s="131"/>
      <c r="G128" s="127"/>
      <c r="H128" s="63">
        <v>1500</v>
      </c>
      <c r="I128" s="63">
        <v>1500</v>
      </c>
      <c r="J128" s="63">
        <v>1500</v>
      </c>
    </row>
    <row r="129" spans="2:10" x14ac:dyDescent="0.25">
      <c r="B129" s="12"/>
      <c r="C129" s="17"/>
      <c r="D129" s="20"/>
      <c r="E129" s="20"/>
      <c r="F129" s="131"/>
      <c r="G129" s="127"/>
      <c r="H129" s="63"/>
      <c r="I129" s="63"/>
      <c r="J129" s="63"/>
    </row>
    <row r="130" spans="2:10" x14ac:dyDescent="0.25">
      <c r="B130" s="12"/>
      <c r="C130" s="17"/>
      <c r="D130" s="20"/>
      <c r="E130" s="20"/>
      <c r="F130" s="131"/>
      <c r="G130" s="127"/>
      <c r="H130" s="63"/>
      <c r="I130" s="63"/>
      <c r="J130" s="63"/>
    </row>
    <row r="131" spans="2:10" x14ac:dyDescent="0.25">
      <c r="B131" s="12"/>
      <c r="C131" s="17"/>
      <c r="D131" s="20"/>
      <c r="E131" s="20"/>
      <c r="F131" s="131"/>
      <c r="G131" s="127"/>
      <c r="H131" s="63"/>
      <c r="I131" s="63"/>
      <c r="J131" s="63"/>
    </row>
    <row r="132" spans="2:10" ht="38.25" x14ac:dyDescent="0.25">
      <c r="B132" s="12" t="s">
        <v>126</v>
      </c>
      <c r="C132" s="17" t="s">
        <v>127</v>
      </c>
      <c r="D132" s="20">
        <v>501</v>
      </c>
      <c r="E132" s="17"/>
      <c r="F132" s="131"/>
      <c r="G132" s="127"/>
      <c r="H132" s="63"/>
      <c r="I132" s="63"/>
      <c r="J132" s="63"/>
    </row>
    <row r="133" spans="2:10" ht="38.25" x14ac:dyDescent="0.25">
      <c r="B133" s="12"/>
      <c r="C133" s="12">
        <v>42</v>
      </c>
      <c r="D133" s="70">
        <v>501</v>
      </c>
      <c r="E133" s="70" t="s">
        <v>87</v>
      </c>
      <c r="F133" s="126">
        <f>F134</f>
        <v>7831.8003848961434</v>
      </c>
      <c r="G133" s="126">
        <f>G134</f>
        <v>7963.3685048775624</v>
      </c>
      <c r="H133" s="64">
        <f t="shared" ref="H133:J135" si="65">H134</f>
        <v>7963.3685048775624</v>
      </c>
      <c r="I133" s="64">
        <f t="shared" si="65"/>
        <v>7963.3685048775624</v>
      </c>
      <c r="J133" s="64">
        <f t="shared" si="65"/>
        <v>7963.3685048775624</v>
      </c>
    </row>
    <row r="134" spans="2:10" ht="25.5" x14ac:dyDescent="0.25">
      <c r="B134" s="12"/>
      <c r="C134" s="12">
        <v>424</v>
      </c>
      <c r="D134" s="70">
        <v>501</v>
      </c>
      <c r="E134" s="70" t="s">
        <v>129</v>
      </c>
      <c r="F134" s="126">
        <f>F135</f>
        <v>7831.8003848961434</v>
      </c>
      <c r="G134" s="126">
        <f>G135</f>
        <v>7963.3685048775624</v>
      </c>
      <c r="H134" s="64">
        <f t="shared" si="65"/>
        <v>7963.3685048775624</v>
      </c>
      <c r="I134" s="64">
        <f t="shared" si="65"/>
        <v>7963.3685048775624</v>
      </c>
      <c r="J134" s="64">
        <f t="shared" si="65"/>
        <v>7963.3685048775624</v>
      </c>
    </row>
    <row r="135" spans="2:10" x14ac:dyDescent="0.25">
      <c r="B135" s="12"/>
      <c r="C135" s="17">
        <v>4241</v>
      </c>
      <c r="D135" s="17">
        <v>501</v>
      </c>
      <c r="E135" s="17" t="s">
        <v>128</v>
      </c>
      <c r="F135" s="9">
        <f>59008.7/7.5345</f>
        <v>7831.8003848961434</v>
      </c>
      <c r="G135" s="10">
        <f>G136</f>
        <v>7963.3685048775624</v>
      </c>
      <c r="H135" s="63">
        <f t="shared" si="65"/>
        <v>7963.3685048775624</v>
      </c>
      <c r="I135" s="63">
        <f t="shared" si="65"/>
        <v>7963.3685048775624</v>
      </c>
      <c r="J135" s="63">
        <f t="shared" si="65"/>
        <v>7963.3685048775624</v>
      </c>
    </row>
    <row r="136" spans="2:10" x14ac:dyDescent="0.25">
      <c r="B136" s="12"/>
      <c r="C136" s="17"/>
      <c r="D136" s="264"/>
      <c r="E136" s="17"/>
      <c r="F136" s="9"/>
      <c r="G136" s="10">
        <f>60000/7.5345</f>
        <v>7963.3685048775624</v>
      </c>
      <c r="H136" s="63">
        <f t="shared" ref="H136:J136" si="66">60000/7.5345</f>
        <v>7963.3685048775624</v>
      </c>
      <c r="I136" s="63">
        <f t="shared" si="66"/>
        <v>7963.3685048775624</v>
      </c>
      <c r="J136" s="63">
        <f t="shared" si="66"/>
        <v>7963.3685048775624</v>
      </c>
    </row>
    <row r="137" spans="2:10" ht="25.5" x14ac:dyDescent="0.25">
      <c r="B137" s="12"/>
      <c r="C137" s="12">
        <v>45</v>
      </c>
      <c r="D137" s="266">
        <v>11</v>
      </c>
      <c r="E137" s="266" t="s">
        <v>89</v>
      </c>
      <c r="F137" s="47"/>
      <c r="G137" s="47"/>
      <c r="H137" s="62">
        <v>10000</v>
      </c>
      <c r="I137" s="62">
        <v>10000</v>
      </c>
      <c r="J137" s="62">
        <v>10000</v>
      </c>
    </row>
    <row r="138" spans="2:10" ht="25.5" x14ac:dyDescent="0.25">
      <c r="B138" s="12"/>
      <c r="C138" s="12">
        <v>451</v>
      </c>
      <c r="D138" s="266">
        <v>11</v>
      </c>
      <c r="E138" s="266" t="s">
        <v>89</v>
      </c>
      <c r="F138" s="47"/>
      <c r="G138" s="47"/>
      <c r="H138" s="62">
        <v>10000</v>
      </c>
      <c r="I138" s="62">
        <v>10000</v>
      </c>
      <c r="J138" s="62">
        <v>10000</v>
      </c>
    </row>
    <row r="139" spans="2:10" ht="25.5" x14ac:dyDescent="0.25">
      <c r="B139" s="12"/>
      <c r="C139" s="17">
        <v>4511</v>
      </c>
      <c r="D139" s="265">
        <v>11</v>
      </c>
      <c r="E139" s="265" t="s">
        <v>89</v>
      </c>
      <c r="F139" s="9"/>
      <c r="G139" s="9"/>
      <c r="H139" s="61">
        <v>10000</v>
      </c>
      <c r="I139" s="61">
        <v>10000</v>
      </c>
      <c r="J139" s="61">
        <v>10000</v>
      </c>
    </row>
    <row r="140" spans="2:10" x14ac:dyDescent="0.25">
      <c r="B140" s="12"/>
      <c r="C140" s="17"/>
      <c r="D140" s="264"/>
      <c r="E140" s="264"/>
      <c r="F140" s="9"/>
      <c r="G140" s="9"/>
      <c r="H140" s="61"/>
      <c r="I140" s="61"/>
      <c r="J140" s="61"/>
    </row>
    <row r="141" spans="2:10" x14ac:dyDescent="0.25">
      <c r="B141" s="12"/>
      <c r="C141" s="17"/>
      <c r="D141" s="264"/>
      <c r="E141" s="264"/>
      <c r="F141" s="9"/>
      <c r="G141" s="9"/>
      <c r="H141" s="61"/>
      <c r="I141" s="61"/>
      <c r="J141" s="61"/>
    </row>
    <row r="142" spans="2:10" ht="25.5" x14ac:dyDescent="0.25">
      <c r="B142" s="298" t="s">
        <v>140</v>
      </c>
      <c r="C142" s="299"/>
      <c r="D142" s="300"/>
      <c r="E142" s="150" t="s">
        <v>141</v>
      </c>
      <c r="F142" s="132">
        <f>F151+F160+F170+F178</f>
        <v>28204.955869666199</v>
      </c>
      <c r="G142" s="132">
        <v>53491.81</v>
      </c>
      <c r="H142" s="132">
        <f>H147+H185+H204</f>
        <v>92819.624366580392</v>
      </c>
      <c r="I142" s="132">
        <f t="shared" ref="I142:J142" si="67">I147+I185+I204</f>
        <v>92819.624366580392</v>
      </c>
      <c r="J142" s="132">
        <f t="shared" si="67"/>
        <v>92819.624366580392</v>
      </c>
    </row>
    <row r="143" spans="2:10" x14ac:dyDescent="0.25">
      <c r="B143" s="115"/>
      <c r="C143" s="116"/>
      <c r="D143" s="117"/>
      <c r="E143" s="89"/>
      <c r="F143" s="125"/>
      <c r="G143" s="125"/>
      <c r="H143" s="78"/>
      <c r="I143" s="78"/>
      <c r="J143" s="78"/>
    </row>
    <row r="144" spans="2:10" x14ac:dyDescent="0.25">
      <c r="B144" s="115"/>
      <c r="C144" s="116"/>
      <c r="D144" s="117"/>
      <c r="E144" s="89"/>
      <c r="F144" s="125"/>
      <c r="G144" s="125"/>
      <c r="H144" s="78"/>
      <c r="I144" s="78"/>
      <c r="J144" s="78"/>
    </row>
    <row r="145" spans="2:10" x14ac:dyDescent="0.25">
      <c r="B145" s="298" t="s">
        <v>146</v>
      </c>
      <c r="C145" s="299"/>
      <c r="D145" s="300"/>
      <c r="E145" s="150" t="s">
        <v>147</v>
      </c>
      <c r="F145" s="131"/>
      <c r="G145" s="131"/>
      <c r="H145" s="61"/>
      <c r="I145" s="61"/>
      <c r="J145" s="61"/>
    </row>
    <row r="146" spans="2:10" x14ac:dyDescent="0.25">
      <c r="B146" s="155"/>
      <c r="C146" s="156"/>
      <c r="D146" s="157">
        <v>54</v>
      </c>
      <c r="E146" s="94"/>
      <c r="F146" s="131"/>
      <c r="G146" s="131"/>
      <c r="H146" s="61"/>
      <c r="I146" s="61"/>
      <c r="J146" s="61"/>
    </row>
    <row r="147" spans="2:10" x14ac:dyDescent="0.25">
      <c r="B147" s="155"/>
      <c r="C147" s="156">
        <v>3222</v>
      </c>
      <c r="D147" s="157"/>
      <c r="E147" s="94" t="s">
        <v>136</v>
      </c>
      <c r="F147" s="131">
        <f>13785.07/7.5345</f>
        <v>1829.5932045922091</v>
      </c>
      <c r="G147" s="131">
        <f>26508/7.5345</f>
        <v>3518.2162054549071</v>
      </c>
      <c r="H147" s="61">
        <f>26508/7.5345</f>
        <v>3518.2162054549071</v>
      </c>
      <c r="I147" s="61">
        <f t="shared" ref="I147:J147" si="68">26508/7.5345</f>
        <v>3518.2162054549071</v>
      </c>
      <c r="J147" s="61">
        <f t="shared" si="68"/>
        <v>3518.2162054549071</v>
      </c>
    </row>
    <row r="148" spans="2:10" x14ac:dyDescent="0.25">
      <c r="B148"/>
      <c r="C148"/>
      <c r="D148"/>
      <c r="E148" s="149"/>
      <c r="F148" s="55"/>
      <c r="G148" s="55"/>
      <c r="H148" s="224">
        <f>-H189</f>
        <v>0</v>
      </c>
      <c r="I148"/>
      <c r="J148"/>
    </row>
    <row r="149" spans="2:10" x14ac:dyDescent="0.25">
      <c r="B149" s="298" t="s">
        <v>142</v>
      </c>
      <c r="C149" s="299"/>
      <c r="D149" s="300"/>
      <c r="E149" s="150" t="s">
        <v>143</v>
      </c>
      <c r="F149" s="131"/>
      <c r="G149" s="131"/>
      <c r="H149" s="88"/>
      <c r="I149" s="61"/>
      <c r="J149" s="61"/>
    </row>
    <row r="150" spans="2:10" x14ac:dyDescent="0.25">
      <c r="B150" s="295">
        <v>54</v>
      </c>
      <c r="C150" s="296"/>
      <c r="D150" s="297"/>
      <c r="E150" s="94" t="s">
        <v>144</v>
      </c>
      <c r="F150" s="131"/>
      <c r="G150" s="131"/>
      <c r="H150" s="61"/>
      <c r="I150" s="61"/>
      <c r="J150" s="61"/>
    </row>
    <row r="151" spans="2:10" x14ac:dyDescent="0.25">
      <c r="B151" s="301">
        <v>3</v>
      </c>
      <c r="C151" s="302"/>
      <c r="D151" s="303"/>
      <c r="E151" s="94" t="s">
        <v>22</v>
      </c>
      <c r="F151" s="132">
        <f>F152+F147</f>
        <v>12440.780410113477</v>
      </c>
      <c r="G151" s="132">
        <f>G152+G147</f>
        <v>14698.993961112217</v>
      </c>
      <c r="H151" s="62"/>
      <c r="I151" s="62"/>
      <c r="J151" s="62"/>
    </row>
    <row r="152" spans="2:10" x14ac:dyDescent="0.25">
      <c r="B152" s="304">
        <v>311</v>
      </c>
      <c r="C152" s="305"/>
      <c r="D152" s="306"/>
      <c r="E152" s="94" t="s">
        <v>23</v>
      </c>
      <c r="F152" s="132">
        <f>SUM(F153:F156)</f>
        <v>10611.187205521268</v>
      </c>
      <c r="G152" s="132">
        <f t="shared" ref="G152" si="69">SUM(G153:G156)</f>
        <v>11180.777755657309</v>
      </c>
      <c r="H152" s="62"/>
      <c r="I152" s="62"/>
      <c r="J152" s="62"/>
    </row>
    <row r="153" spans="2:10" x14ac:dyDescent="0.25">
      <c r="B153" s="155"/>
      <c r="C153" s="156">
        <v>3111</v>
      </c>
      <c r="D153" s="157"/>
      <c r="E153" s="94" t="s">
        <v>110</v>
      </c>
      <c r="F153" s="131">
        <f>55968.75/7.5345</f>
        <v>7428.3296834561015</v>
      </c>
      <c r="G153" s="131">
        <f>62568.75/7.5345</f>
        <v>8304.3002189926337</v>
      </c>
      <c r="H153" s="61"/>
      <c r="I153" s="61"/>
      <c r="J153" s="61"/>
    </row>
    <row r="154" spans="2:10" x14ac:dyDescent="0.25">
      <c r="B154" s="155"/>
      <c r="C154" s="156">
        <v>3121</v>
      </c>
      <c r="D154" s="157"/>
      <c r="E154" s="94" t="s">
        <v>111</v>
      </c>
      <c r="F154" s="131">
        <f>7500/7.5345</f>
        <v>995.4210631096953</v>
      </c>
      <c r="G154" s="131">
        <f>4500/7.5345</f>
        <v>597.25263786581718</v>
      </c>
      <c r="H154" s="61"/>
      <c r="I154" s="61"/>
      <c r="J154" s="61"/>
    </row>
    <row r="155" spans="2:10" ht="25.5" x14ac:dyDescent="0.25">
      <c r="B155" s="155"/>
      <c r="C155" s="156">
        <v>3132</v>
      </c>
      <c r="D155" s="157"/>
      <c r="E155" s="94" t="s">
        <v>145</v>
      </c>
      <c r="F155" s="131">
        <f>9234.87/7.5345</f>
        <v>1225.6778817439777</v>
      </c>
      <c r="G155" s="131">
        <f>9191.64/7.5345</f>
        <v>1219.9402747362133</v>
      </c>
      <c r="H155" s="61"/>
      <c r="I155" s="61"/>
      <c r="J155" s="61"/>
    </row>
    <row r="156" spans="2:10" x14ac:dyDescent="0.25">
      <c r="B156" s="155"/>
      <c r="C156" s="156">
        <v>3212</v>
      </c>
      <c r="D156" s="157"/>
      <c r="E156" s="94" t="s">
        <v>64</v>
      </c>
      <c r="F156" s="131">
        <f>7246.37/7.5345</f>
        <v>961.75857721149373</v>
      </c>
      <c r="G156" s="131">
        <f>7981.18/7.5345</f>
        <v>1059.2846240626452</v>
      </c>
      <c r="H156" s="61"/>
      <c r="I156" s="61"/>
      <c r="J156" s="61"/>
    </row>
    <row r="157" spans="2:10" x14ac:dyDescent="0.25">
      <c r="B157" s="155"/>
      <c r="C157" s="156"/>
      <c r="D157" s="157"/>
      <c r="E157" s="94"/>
      <c r="F157" s="131"/>
      <c r="G157" s="131"/>
      <c r="H157" s="61"/>
      <c r="I157" s="61"/>
      <c r="J157" s="61"/>
    </row>
    <row r="158" spans="2:10" x14ac:dyDescent="0.25">
      <c r="B158" s="298" t="s">
        <v>148</v>
      </c>
      <c r="C158" s="299"/>
      <c r="D158" s="300"/>
      <c r="E158" s="150" t="s">
        <v>149</v>
      </c>
      <c r="F158" s="131"/>
      <c r="G158" s="131"/>
      <c r="H158" s="61"/>
      <c r="I158" s="61"/>
      <c r="J158" s="61"/>
    </row>
    <row r="159" spans="2:10" x14ac:dyDescent="0.25">
      <c r="B159" s="155"/>
      <c r="C159" s="156"/>
      <c r="D159" s="157">
        <v>54</v>
      </c>
      <c r="E159" s="94"/>
      <c r="F159" s="131"/>
      <c r="G159" s="131"/>
      <c r="H159" s="61"/>
      <c r="I159" s="61"/>
      <c r="J159" s="61"/>
    </row>
    <row r="160" spans="2:10" x14ac:dyDescent="0.25">
      <c r="B160" s="304">
        <v>311</v>
      </c>
      <c r="C160" s="305"/>
      <c r="D160" s="306"/>
      <c r="E160" s="94" t="s">
        <v>23</v>
      </c>
      <c r="F160" s="132">
        <f>SUM(F161:F165)</f>
        <v>3782.0810936359412</v>
      </c>
      <c r="G160" s="132">
        <f>SUM(G161:G165)</f>
        <v>34984.99303205256</v>
      </c>
      <c r="H160" s="62"/>
      <c r="I160" s="62"/>
      <c r="J160" s="62"/>
    </row>
    <row r="161" spans="2:10" x14ac:dyDescent="0.25">
      <c r="B161" s="155"/>
      <c r="C161" s="156">
        <v>3111</v>
      </c>
      <c r="D161" s="157"/>
      <c r="E161" s="94" t="s">
        <v>110</v>
      </c>
      <c r="F161" s="131">
        <f>20248.44/7.5345</f>
        <v>2687.4298228150506</v>
      </c>
      <c r="G161" s="131">
        <f>199031.25/7.5345</f>
        <v>26415.98646227354</v>
      </c>
      <c r="H161" s="61"/>
      <c r="I161" s="61"/>
      <c r="J161" s="61"/>
    </row>
    <row r="162" spans="2:10" x14ac:dyDescent="0.25">
      <c r="B162" s="155"/>
      <c r="C162" s="156">
        <v>3121</v>
      </c>
      <c r="D162" s="157"/>
      <c r="E162" s="94" t="s">
        <v>111</v>
      </c>
      <c r="F162" s="131">
        <f>1800/7.5345</f>
        <v>238.90105514632688</v>
      </c>
      <c r="G162" s="131">
        <f>13000/7.5345</f>
        <v>1725.3965093901386</v>
      </c>
      <c r="H162" s="61"/>
      <c r="I162" s="61"/>
      <c r="J162" s="61"/>
    </row>
    <row r="163" spans="2:10" ht="25.5" x14ac:dyDescent="0.25">
      <c r="B163" s="155"/>
      <c r="C163" s="156">
        <v>3132</v>
      </c>
      <c r="D163" s="157"/>
      <c r="E163" s="94" t="s">
        <v>145</v>
      </c>
      <c r="F163" s="131">
        <f>3340.99/7.5345</f>
        <v>443.42557568518146</v>
      </c>
      <c r="G163" s="131">
        <f>25508.36/7.5345</f>
        <v>3385.5411772513107</v>
      </c>
      <c r="H163" s="61"/>
      <c r="I163" s="61"/>
      <c r="J163" s="61"/>
    </row>
    <row r="164" spans="2:10" x14ac:dyDescent="0.25">
      <c r="B164" s="155"/>
      <c r="C164" s="156">
        <v>3211</v>
      </c>
      <c r="D164" s="157"/>
      <c r="E164" s="94" t="s">
        <v>63</v>
      </c>
      <c r="F164" s="131"/>
      <c r="G164" s="131">
        <f>800/7.5345</f>
        <v>106.17824673170084</v>
      </c>
      <c r="H164" s="61"/>
      <c r="I164" s="61"/>
      <c r="J164" s="61"/>
    </row>
    <row r="165" spans="2:10" x14ac:dyDescent="0.25">
      <c r="B165" s="155"/>
      <c r="C165" s="156">
        <v>3212</v>
      </c>
      <c r="D165" s="157"/>
      <c r="E165" s="94" t="s">
        <v>64</v>
      </c>
      <c r="F165" s="131">
        <f>3106.66/7.5345</f>
        <v>412.32463998938215</v>
      </c>
      <c r="G165" s="131">
        <f>25254.82/7.5345</f>
        <v>3351.8906364058662</v>
      </c>
      <c r="H165" s="61"/>
      <c r="I165" s="61"/>
      <c r="J165" s="61"/>
    </row>
    <row r="166" spans="2:10" x14ac:dyDescent="0.25">
      <c r="B166" s="115"/>
      <c r="C166" s="116"/>
      <c r="D166" s="117"/>
      <c r="E166" s="89"/>
      <c r="F166" s="125"/>
      <c r="G166" s="125"/>
      <c r="H166" s="78"/>
      <c r="I166" s="78"/>
      <c r="J166" s="78"/>
    </row>
    <row r="167" spans="2:10" x14ac:dyDescent="0.25">
      <c r="B167" s="298" t="s">
        <v>142</v>
      </c>
      <c r="C167" s="299"/>
      <c r="D167" s="300"/>
      <c r="E167" s="150" t="s">
        <v>143</v>
      </c>
      <c r="F167" s="131"/>
      <c r="G167" s="131"/>
      <c r="H167" s="9"/>
      <c r="I167" s="9"/>
      <c r="J167" s="9"/>
    </row>
    <row r="168" spans="2:10" x14ac:dyDescent="0.25">
      <c r="B168" s="295">
        <v>13</v>
      </c>
      <c r="C168" s="296"/>
      <c r="D168" s="297"/>
      <c r="E168" s="94" t="s">
        <v>150</v>
      </c>
      <c r="F168" s="131"/>
      <c r="G168" s="131"/>
      <c r="H168" s="9"/>
      <c r="I168" s="9"/>
      <c r="J168" s="9"/>
    </row>
    <row r="169" spans="2:10" x14ac:dyDescent="0.25">
      <c r="B169" s="298"/>
      <c r="C169" s="299"/>
      <c r="D169" s="300"/>
      <c r="E169" s="150"/>
      <c r="F169" s="131"/>
      <c r="G169" s="131"/>
      <c r="H169" s="9"/>
      <c r="I169" s="9"/>
      <c r="J169" s="9"/>
    </row>
    <row r="170" spans="2:10" x14ac:dyDescent="0.25">
      <c r="B170" s="301">
        <v>3</v>
      </c>
      <c r="C170" s="302"/>
      <c r="D170" s="303"/>
      <c r="E170" s="94" t="s">
        <v>22</v>
      </c>
      <c r="F170" s="132">
        <f>F171</f>
        <v>9235.5989116729706</v>
      </c>
      <c r="G170" s="132">
        <f>G171</f>
        <v>3807.8173734156217</v>
      </c>
      <c r="H170" s="62"/>
      <c r="I170" s="62"/>
      <c r="J170" s="62"/>
    </row>
    <row r="171" spans="2:10" x14ac:dyDescent="0.25">
      <c r="B171" s="304">
        <v>311</v>
      </c>
      <c r="C171" s="305"/>
      <c r="D171" s="306"/>
      <c r="E171" s="94" t="s">
        <v>23</v>
      </c>
      <c r="F171" s="132">
        <f>SUM(F172:F174)</f>
        <v>9235.5989116729706</v>
      </c>
      <c r="G171" s="132">
        <f>SUM(G172:G174)</f>
        <v>3807.8173734156217</v>
      </c>
      <c r="H171" s="62"/>
      <c r="I171" s="62"/>
      <c r="J171" s="62"/>
    </row>
    <row r="172" spans="2:10" x14ac:dyDescent="0.25">
      <c r="B172" s="155"/>
      <c r="C172" s="156">
        <v>3111</v>
      </c>
      <c r="D172" s="157"/>
      <c r="E172" s="94" t="s">
        <v>110</v>
      </c>
      <c r="F172" s="131">
        <f>53851.56/7.5345</f>
        <v>7147.3302807087393</v>
      </c>
      <c r="G172" s="131">
        <f>20950/7.5345</f>
        <v>2780.5428362864159</v>
      </c>
      <c r="H172" s="61"/>
      <c r="I172" s="61"/>
      <c r="J172" s="61"/>
    </row>
    <row r="173" spans="2:10" ht="25.5" x14ac:dyDescent="0.25">
      <c r="B173" s="155"/>
      <c r="C173" s="156">
        <v>3132</v>
      </c>
      <c r="D173" s="157"/>
      <c r="E173" s="94" t="s">
        <v>145</v>
      </c>
      <c r="F173" s="131">
        <f>8885.51/7.5345</f>
        <v>1179.3098413962439</v>
      </c>
      <c r="G173" s="131">
        <f>3500/7.5345</f>
        <v>464.52982945119118</v>
      </c>
      <c r="H173" s="61"/>
      <c r="I173" s="61"/>
      <c r="J173" s="61"/>
    </row>
    <row r="174" spans="2:10" x14ac:dyDescent="0.25">
      <c r="B174" s="155"/>
      <c r="C174" s="156">
        <v>3212</v>
      </c>
      <c r="D174" s="157"/>
      <c r="E174" s="94" t="s">
        <v>64</v>
      </c>
      <c r="F174" s="131">
        <f>6848.55/7.5345</f>
        <v>908.9587895679872</v>
      </c>
      <c r="G174" s="131">
        <f>4240/7.5345</f>
        <v>562.74470767801438</v>
      </c>
      <c r="H174" s="61"/>
      <c r="I174" s="61"/>
      <c r="J174" s="61"/>
    </row>
    <row r="175" spans="2:10" x14ac:dyDescent="0.25">
      <c r="B175" s="115"/>
      <c r="C175" s="116"/>
      <c r="D175" s="117"/>
      <c r="E175" s="89"/>
      <c r="F175" s="125"/>
      <c r="G175" s="125"/>
      <c r="H175" s="78"/>
      <c r="I175" s="78"/>
      <c r="J175" s="78"/>
    </row>
    <row r="176" spans="2:10" x14ac:dyDescent="0.25">
      <c r="B176" s="298" t="s">
        <v>148</v>
      </c>
      <c r="C176" s="299"/>
      <c r="D176" s="300"/>
      <c r="E176" s="150" t="s">
        <v>149</v>
      </c>
      <c r="F176" s="131"/>
      <c r="G176" s="131"/>
      <c r="H176" s="61"/>
      <c r="I176" s="61"/>
      <c r="J176" s="61"/>
    </row>
    <row r="177" spans="2:10" x14ac:dyDescent="0.25">
      <c r="B177" s="155"/>
      <c r="C177" s="156"/>
      <c r="D177" s="210">
        <v>13</v>
      </c>
      <c r="E177" s="94" t="s">
        <v>150</v>
      </c>
      <c r="F177" s="131"/>
      <c r="G177" s="131"/>
      <c r="H177" s="61"/>
      <c r="I177" s="61"/>
      <c r="J177" s="61"/>
    </row>
    <row r="178" spans="2:10" x14ac:dyDescent="0.25">
      <c r="B178" s="304">
        <v>311</v>
      </c>
      <c r="C178" s="305"/>
      <c r="D178" s="306"/>
      <c r="E178" s="94" t="s">
        <v>23</v>
      </c>
      <c r="F178" s="132">
        <f>SUM(F179:F182)</f>
        <v>2746.4954542438118</v>
      </c>
      <c r="G178" s="132"/>
      <c r="H178" s="62"/>
      <c r="I178" s="62"/>
      <c r="J178" s="62"/>
    </row>
    <row r="179" spans="2:10" x14ac:dyDescent="0.25">
      <c r="B179" s="155"/>
      <c r="C179" s="156">
        <v>3111</v>
      </c>
      <c r="D179" s="157"/>
      <c r="E179" s="94" t="s">
        <v>110</v>
      </c>
      <c r="F179" s="131">
        <f>11281.25/7.5345</f>
        <v>1497.2791824275</v>
      </c>
      <c r="G179" s="131"/>
      <c r="H179" s="61"/>
      <c r="I179" s="61"/>
      <c r="J179" s="61"/>
    </row>
    <row r="180" spans="2:10" x14ac:dyDescent="0.25">
      <c r="B180" s="155"/>
      <c r="C180" s="156">
        <v>3121</v>
      </c>
      <c r="D180" s="157"/>
      <c r="E180" s="94" t="s">
        <v>111</v>
      </c>
      <c r="F180" s="131">
        <f>6000/7.5345</f>
        <v>796.33685048775624</v>
      </c>
      <c r="G180" s="131"/>
      <c r="H180" s="61"/>
      <c r="I180" s="61"/>
      <c r="J180" s="61"/>
    </row>
    <row r="181" spans="2:10" ht="25.5" x14ac:dyDescent="0.25">
      <c r="B181" s="155"/>
      <c r="C181" s="156">
        <v>3132</v>
      </c>
      <c r="D181" s="157"/>
      <c r="E181" s="94" t="s">
        <v>145</v>
      </c>
      <c r="F181" s="131">
        <f>2112.22/7.5345</f>
        <v>280.3397703895414</v>
      </c>
      <c r="G181" s="131"/>
      <c r="H181" s="61"/>
      <c r="I181" s="61"/>
      <c r="J181" s="61"/>
    </row>
    <row r="182" spans="2:10" x14ac:dyDescent="0.25">
      <c r="B182" s="155"/>
      <c r="C182" s="156">
        <v>3212</v>
      </c>
      <c r="D182" s="157"/>
      <c r="E182" s="94" t="s">
        <v>64</v>
      </c>
      <c r="F182" s="131">
        <f>1300/7.5345</f>
        <v>172.53965093901385</v>
      </c>
      <c r="G182" s="131"/>
      <c r="H182" s="61"/>
      <c r="I182" s="61"/>
      <c r="J182" s="61"/>
    </row>
    <row r="183" spans="2:10" x14ac:dyDescent="0.25">
      <c r="B183" s="115"/>
      <c r="C183" s="116"/>
      <c r="D183" s="117"/>
      <c r="E183" s="89"/>
      <c r="F183" s="125"/>
      <c r="G183" s="125"/>
      <c r="H183" s="78"/>
      <c r="I183" s="78"/>
      <c r="J183" s="78"/>
    </row>
    <row r="184" spans="2:10" ht="15.75" thickBot="1" x14ac:dyDescent="0.3">
      <c r="B184" s="245"/>
      <c r="C184" s="242"/>
      <c r="D184" s="243"/>
      <c r="E184" s="244"/>
      <c r="F184" s="232"/>
      <c r="G184" s="232"/>
      <c r="H184" s="233"/>
      <c r="I184" s="233"/>
      <c r="J184" s="233"/>
    </row>
    <row r="185" spans="2:10" ht="16.5" thickTop="1" thickBot="1" x14ac:dyDescent="0.3">
      <c r="B185" s="320" t="s">
        <v>148</v>
      </c>
      <c r="C185" s="321"/>
      <c r="D185" s="322"/>
      <c r="E185" s="238" t="s">
        <v>157</v>
      </c>
      <c r="F185" s="239"/>
      <c r="G185" s="240"/>
      <c r="H185" s="241">
        <f>H188+H200</f>
        <v>52580.758161125494</v>
      </c>
      <c r="I185" s="241">
        <f t="shared" ref="I185:J185" si="70">I188+I200</f>
        <v>52580.758161125494</v>
      </c>
      <c r="J185" s="241">
        <f t="shared" si="70"/>
        <v>52580.758161125494</v>
      </c>
    </row>
    <row r="186" spans="2:10" ht="15.75" thickTop="1" x14ac:dyDescent="0.25">
      <c r="B186" s="235"/>
      <c r="C186" s="236"/>
      <c r="D186" s="237"/>
      <c r="E186" s="234"/>
      <c r="F186" s="230"/>
      <c r="G186" s="230"/>
      <c r="H186" s="231"/>
      <c r="I186" s="231"/>
      <c r="J186" s="231"/>
    </row>
    <row r="187" spans="2:10" x14ac:dyDescent="0.25">
      <c r="B187" s="212"/>
      <c r="C187" s="213"/>
      <c r="D187" s="214"/>
      <c r="E187" s="150"/>
      <c r="F187" s="131"/>
      <c r="G187" s="131"/>
      <c r="H187" s="61"/>
      <c r="I187" s="61"/>
      <c r="J187" s="61"/>
    </row>
    <row r="188" spans="2:10" x14ac:dyDescent="0.25">
      <c r="B188" s="212"/>
      <c r="C188" s="213">
        <v>31</v>
      </c>
      <c r="D188" s="214"/>
      <c r="E188" s="150" t="s">
        <v>194</v>
      </c>
      <c r="F188" s="131"/>
      <c r="G188" s="131"/>
      <c r="H188" s="62">
        <f>H190+H194</f>
        <v>47447.579946247264</v>
      </c>
      <c r="I188" s="62">
        <f t="shared" ref="I188:J188" si="71">I190+I194</f>
        <v>47447.579946247264</v>
      </c>
      <c r="J188" s="62">
        <f t="shared" si="71"/>
        <v>47447.579946247264</v>
      </c>
    </row>
    <row r="189" spans="2:10" x14ac:dyDescent="0.25">
      <c r="B189" s="187"/>
      <c r="C189" s="188"/>
      <c r="D189" s="150">
        <v>11</v>
      </c>
      <c r="E189" s="150"/>
      <c r="F189" s="131"/>
      <c r="G189" s="131"/>
      <c r="H189" s="61"/>
      <c r="I189" s="61"/>
      <c r="J189" s="61"/>
    </row>
    <row r="190" spans="2:10" x14ac:dyDescent="0.25">
      <c r="B190" s="190"/>
      <c r="C190" s="191"/>
      <c r="D190" s="210">
        <v>11</v>
      </c>
      <c r="E190" s="94" t="s">
        <v>184</v>
      </c>
      <c r="F190" s="62"/>
      <c r="G190" s="62">
        <f t="shared" ref="G190" si="72">G191</f>
        <v>0</v>
      </c>
      <c r="H190" s="62">
        <f>H191</f>
        <v>2554.09</v>
      </c>
      <c r="I190" s="62">
        <f t="shared" ref="I190:J190" si="73">I191</f>
        <v>2554.09</v>
      </c>
      <c r="J190" s="62">
        <f t="shared" si="73"/>
        <v>2554.09</v>
      </c>
    </row>
    <row r="191" spans="2:10" x14ac:dyDescent="0.25">
      <c r="B191" s="304">
        <v>311</v>
      </c>
      <c r="C191" s="305"/>
      <c r="D191" s="306"/>
      <c r="E191" s="94" t="s">
        <v>23</v>
      </c>
      <c r="F191" s="132"/>
      <c r="G191" s="132"/>
      <c r="H191" s="62">
        <f>SUM(H192:H193)</f>
        <v>2554.09</v>
      </c>
      <c r="I191" s="62">
        <f t="shared" ref="I191:J191" si="74">SUM(I192:I193)</f>
        <v>2554.09</v>
      </c>
      <c r="J191" s="62">
        <f t="shared" si="74"/>
        <v>2554.09</v>
      </c>
    </row>
    <row r="192" spans="2:10" x14ac:dyDescent="0.25">
      <c r="B192" s="190"/>
      <c r="C192" s="191">
        <v>3111</v>
      </c>
      <c r="D192" s="192"/>
      <c r="E192" s="94" t="s">
        <v>110</v>
      </c>
      <c r="F192" s="131"/>
      <c r="G192" s="131"/>
      <c r="H192" s="61">
        <v>2250.0500000000002</v>
      </c>
      <c r="I192" s="61">
        <v>2250.0500000000002</v>
      </c>
      <c r="J192" s="61">
        <v>2250.0500000000002</v>
      </c>
    </row>
    <row r="193" spans="2:10" ht="25.5" x14ac:dyDescent="0.25">
      <c r="B193" s="190"/>
      <c r="C193" s="191">
        <v>3132</v>
      </c>
      <c r="D193" s="192"/>
      <c r="E193" s="94" t="s">
        <v>145</v>
      </c>
      <c r="F193" s="131"/>
      <c r="G193" s="131"/>
      <c r="H193" s="61">
        <v>304.04000000000002</v>
      </c>
      <c r="I193" s="61">
        <v>304.04000000000002</v>
      </c>
      <c r="J193" s="61">
        <v>304.04000000000002</v>
      </c>
    </row>
    <row r="194" spans="2:10" x14ac:dyDescent="0.25">
      <c r="B194" s="155"/>
      <c r="C194" s="156"/>
      <c r="D194" s="210">
        <v>54</v>
      </c>
      <c r="E194" s="94"/>
      <c r="F194" s="62"/>
      <c r="G194" s="62">
        <f t="shared" ref="G194" si="75">G195</f>
        <v>0</v>
      </c>
      <c r="H194" s="62">
        <f>H195</f>
        <v>44893.489946247268</v>
      </c>
      <c r="I194" s="62">
        <f t="shared" ref="I194:J194" si="76">I195</f>
        <v>44893.489946247268</v>
      </c>
      <c r="J194" s="62">
        <f t="shared" si="76"/>
        <v>44893.489946247268</v>
      </c>
    </row>
    <row r="195" spans="2:10" x14ac:dyDescent="0.25">
      <c r="B195" s="304">
        <v>311</v>
      </c>
      <c r="C195" s="305"/>
      <c r="D195" s="306"/>
      <c r="E195" s="94" t="s">
        <v>23</v>
      </c>
      <c r="F195" s="132"/>
      <c r="G195" s="132"/>
      <c r="H195" s="61">
        <f>SUM(H196:H198)</f>
        <v>44893.489946247268</v>
      </c>
      <c r="I195" s="61">
        <f t="shared" ref="I195:J195" si="77">SUM(I196:I198)</f>
        <v>44893.489946247268</v>
      </c>
      <c r="J195" s="61">
        <f t="shared" si="77"/>
        <v>44893.489946247268</v>
      </c>
    </row>
    <row r="196" spans="2:10" x14ac:dyDescent="0.25">
      <c r="B196" s="155"/>
      <c r="C196" s="156">
        <v>3111</v>
      </c>
      <c r="D196" s="157"/>
      <c r="E196" s="94" t="s">
        <v>110</v>
      </c>
      <c r="F196" s="131"/>
      <c r="G196" s="131"/>
      <c r="H196" s="61">
        <f>282550/7.5345</f>
        <v>37500.829517552593</v>
      </c>
      <c r="I196" s="61">
        <f t="shared" ref="I196:J196" si="78">282550/7.5345</f>
        <v>37500.829517552593</v>
      </c>
      <c r="J196" s="61">
        <f t="shared" si="78"/>
        <v>37500.829517552593</v>
      </c>
    </row>
    <row r="197" spans="2:10" x14ac:dyDescent="0.25">
      <c r="B197" s="155"/>
      <c r="C197" s="156">
        <v>3121</v>
      </c>
      <c r="D197" s="157"/>
      <c r="E197" s="94" t="s">
        <v>111</v>
      </c>
      <c r="F197" s="131"/>
      <c r="G197" s="131"/>
      <c r="H197" s="61">
        <f>17500/7.5345</f>
        <v>2322.649147255956</v>
      </c>
      <c r="I197" s="61">
        <f t="shared" ref="I197:J197" si="79">17500/7.5345</f>
        <v>2322.649147255956</v>
      </c>
      <c r="J197" s="61">
        <f t="shared" si="79"/>
        <v>2322.649147255956</v>
      </c>
    </row>
    <row r="198" spans="2:10" ht="25.5" x14ac:dyDescent="0.25">
      <c r="B198" s="155"/>
      <c r="C198" s="156">
        <v>3132</v>
      </c>
      <c r="D198" s="157"/>
      <c r="E198" s="94" t="s">
        <v>145</v>
      </c>
      <c r="F198" s="131"/>
      <c r="G198" s="131"/>
      <c r="H198" s="61">
        <f>38200/7.5345</f>
        <v>5070.0112814387148</v>
      </c>
      <c r="I198" s="61">
        <f>38200/7.5345</f>
        <v>5070.0112814387148</v>
      </c>
      <c r="J198" s="61">
        <f t="shared" ref="J198" si="80">38200/7.5345</f>
        <v>5070.0112814387148</v>
      </c>
    </row>
    <row r="199" spans="2:10" x14ac:dyDescent="0.25">
      <c r="B199" s="135"/>
      <c r="C199" s="225"/>
      <c r="D199" s="226"/>
      <c r="E199" s="227"/>
      <c r="F199" s="228"/>
      <c r="G199" s="228"/>
      <c r="H199" s="229"/>
      <c r="I199" s="229"/>
      <c r="J199" s="229"/>
    </row>
    <row r="200" spans="2:10" x14ac:dyDescent="0.25">
      <c r="B200" s="135"/>
      <c r="C200" s="225">
        <v>32</v>
      </c>
      <c r="D200" s="226"/>
      <c r="E200" s="227" t="s">
        <v>114</v>
      </c>
      <c r="F200" s="228"/>
      <c r="G200" s="228"/>
      <c r="H200" s="229">
        <f>H201+H202+H203</f>
        <v>5133.1782148782268</v>
      </c>
      <c r="I200" s="229">
        <f t="shared" ref="I200:J200" si="81">I201+I202+I203</f>
        <v>5133.1782148782268</v>
      </c>
      <c r="J200" s="229">
        <f t="shared" si="81"/>
        <v>5133.1782148782268</v>
      </c>
    </row>
    <row r="201" spans="2:10" x14ac:dyDescent="0.25">
      <c r="B201" s="135"/>
      <c r="C201" s="136" t="s">
        <v>193</v>
      </c>
      <c r="D201" s="137"/>
      <c r="E201" s="151" t="s">
        <v>121</v>
      </c>
      <c r="F201" s="138"/>
      <c r="G201" s="138"/>
      <c r="H201" s="139">
        <v>53.08</v>
      </c>
      <c r="I201" s="139">
        <v>53.08</v>
      </c>
      <c r="J201" s="139">
        <v>53.08</v>
      </c>
    </row>
    <row r="202" spans="2:10" x14ac:dyDescent="0.25">
      <c r="B202" s="135"/>
      <c r="C202" s="136"/>
      <c r="D202" s="137"/>
      <c r="E202" s="151"/>
      <c r="F202" s="138"/>
      <c r="G202" s="138"/>
      <c r="H202" s="139"/>
      <c r="I202" s="139"/>
      <c r="J202" s="139"/>
    </row>
    <row r="203" spans="2:10" ht="15.75" thickBot="1" x14ac:dyDescent="0.3">
      <c r="B203" s="135"/>
      <c r="C203" s="136">
        <v>3212</v>
      </c>
      <c r="D203" s="137"/>
      <c r="E203" s="151" t="s">
        <v>64</v>
      </c>
      <c r="F203" s="138"/>
      <c r="G203" s="138"/>
      <c r="H203" s="139">
        <f>38276/7.5345</f>
        <v>5080.0982148782268</v>
      </c>
      <c r="I203" s="139">
        <f t="shared" ref="I203:J203" si="82">38276/7.5345</f>
        <v>5080.0982148782268</v>
      </c>
      <c r="J203" s="139">
        <f t="shared" si="82"/>
        <v>5080.0982148782268</v>
      </c>
    </row>
    <row r="204" spans="2:10" ht="27" thickTop="1" thickBot="1" x14ac:dyDescent="0.3">
      <c r="B204" s="312" t="s">
        <v>196</v>
      </c>
      <c r="C204" s="313"/>
      <c r="D204" s="314"/>
      <c r="E204" s="246" t="s">
        <v>195</v>
      </c>
      <c r="F204" s="247"/>
      <c r="G204" s="247"/>
      <c r="H204" s="248">
        <f>H206+H211</f>
        <v>36720.65</v>
      </c>
      <c r="I204" s="248">
        <f>I206+I211</f>
        <v>36720.65</v>
      </c>
      <c r="J204" s="248">
        <f t="shared" ref="J204" si="83">J206+J211</f>
        <v>36720.65</v>
      </c>
    </row>
    <row r="205" spans="2:10" ht="15.75" thickTop="1" x14ac:dyDescent="0.25">
      <c r="B205" s="235"/>
      <c r="C205" s="236"/>
      <c r="D205" s="234">
        <v>11</v>
      </c>
      <c r="E205" s="234"/>
      <c r="F205" s="230"/>
      <c r="G205" s="230"/>
      <c r="H205" s="231"/>
      <c r="I205" s="231"/>
      <c r="J205" s="231"/>
    </row>
    <row r="206" spans="2:10" x14ac:dyDescent="0.25">
      <c r="B206" s="221"/>
      <c r="C206" s="222"/>
      <c r="D206" s="210">
        <v>11</v>
      </c>
      <c r="E206" s="94" t="s">
        <v>184</v>
      </c>
      <c r="F206" s="62"/>
      <c r="G206" s="62">
        <f t="shared" ref="G206" si="84">G207</f>
        <v>0</v>
      </c>
      <c r="H206" s="62">
        <f>H207</f>
        <v>0</v>
      </c>
      <c r="I206" s="62">
        <f t="shared" ref="I206:J206" si="85">I207</f>
        <v>0</v>
      </c>
      <c r="J206" s="62">
        <f t="shared" si="85"/>
        <v>0</v>
      </c>
    </row>
    <row r="207" spans="2:10" x14ac:dyDescent="0.25">
      <c r="B207" s="304">
        <v>311</v>
      </c>
      <c r="C207" s="305"/>
      <c r="D207" s="306"/>
      <c r="E207" s="94" t="s">
        <v>23</v>
      </c>
      <c r="F207" s="132"/>
      <c r="G207" s="132"/>
      <c r="H207" s="62">
        <f>SUM(H208:H209)</f>
        <v>0</v>
      </c>
      <c r="I207" s="62">
        <f t="shared" ref="I207:J207" si="86">SUM(I208:I209)</f>
        <v>0</v>
      </c>
      <c r="J207" s="62">
        <f t="shared" si="86"/>
        <v>0</v>
      </c>
    </row>
    <row r="208" spans="2:10" x14ac:dyDescent="0.25">
      <c r="B208" s="221"/>
      <c r="C208" s="222">
        <v>3111</v>
      </c>
      <c r="D208" s="223"/>
      <c r="E208" s="94" t="s">
        <v>110</v>
      </c>
      <c r="F208" s="131"/>
      <c r="G208" s="131"/>
      <c r="H208" s="61"/>
      <c r="I208" s="61"/>
      <c r="J208" s="61"/>
    </row>
    <row r="209" spans="2:10" ht="25.5" x14ac:dyDescent="0.25">
      <c r="B209" s="221"/>
      <c r="C209" s="222">
        <v>3132</v>
      </c>
      <c r="D209" s="223"/>
      <c r="E209" s="94" t="s">
        <v>145</v>
      </c>
      <c r="F209" s="131"/>
      <c r="G209" s="131"/>
      <c r="H209" s="61"/>
      <c r="I209" s="61"/>
      <c r="J209" s="61"/>
    </row>
    <row r="210" spans="2:10" x14ac:dyDescent="0.25">
      <c r="B210" s="218"/>
      <c r="C210" s="219"/>
      <c r="D210" s="220"/>
      <c r="E210" s="150"/>
      <c r="F210" s="131"/>
      <c r="G210" s="131"/>
      <c r="H210" s="61"/>
      <c r="I210" s="61"/>
      <c r="J210" s="61"/>
    </row>
    <row r="211" spans="2:10" x14ac:dyDescent="0.25">
      <c r="B211" s="221"/>
      <c r="C211" s="222"/>
      <c r="D211" s="223">
        <v>54</v>
      </c>
      <c r="E211" s="94"/>
      <c r="F211" s="62"/>
      <c r="G211" s="62">
        <f t="shared" ref="G211" si="87">G212</f>
        <v>0</v>
      </c>
      <c r="H211" s="62">
        <f>H212</f>
        <v>36720.65</v>
      </c>
      <c r="I211" s="62">
        <f t="shared" ref="I211:J211" si="88">I212</f>
        <v>36720.65</v>
      </c>
      <c r="J211" s="62">
        <f t="shared" si="88"/>
        <v>36720.65</v>
      </c>
    </row>
    <row r="212" spans="2:10" x14ac:dyDescent="0.25">
      <c r="B212" s="304">
        <v>311</v>
      </c>
      <c r="C212" s="305"/>
      <c r="D212" s="306"/>
      <c r="E212" s="94" t="s">
        <v>23</v>
      </c>
      <c r="F212" s="132"/>
      <c r="G212" s="132"/>
      <c r="H212" s="62">
        <f>SUM(H213:H217)</f>
        <v>36720.65</v>
      </c>
      <c r="I212" s="62">
        <f t="shared" ref="I212:J212" si="89">SUM(I213:I217)</f>
        <v>36720.65</v>
      </c>
      <c r="J212" s="62">
        <f t="shared" si="89"/>
        <v>36720.65</v>
      </c>
    </row>
    <row r="213" spans="2:10" x14ac:dyDescent="0.25">
      <c r="B213" s="221"/>
      <c r="C213" s="222">
        <v>3111</v>
      </c>
      <c r="D213" s="223"/>
      <c r="E213" s="94" t="s">
        <v>110</v>
      </c>
      <c r="F213" s="131"/>
      <c r="G213" s="131"/>
      <c r="H213" s="61">
        <v>29500.65</v>
      </c>
      <c r="I213" s="61">
        <v>29500.65</v>
      </c>
      <c r="J213" s="61">
        <v>29500.65</v>
      </c>
    </row>
    <row r="214" spans="2:10" x14ac:dyDescent="0.25">
      <c r="B214" s="221"/>
      <c r="C214" s="222">
        <v>3121</v>
      </c>
      <c r="D214" s="223"/>
      <c r="E214" s="94" t="s">
        <v>111</v>
      </c>
      <c r="F214" s="131"/>
      <c r="G214" s="131"/>
      <c r="H214" s="61">
        <v>3300</v>
      </c>
      <c r="I214" s="61">
        <v>3300</v>
      </c>
      <c r="J214" s="61">
        <v>3300</v>
      </c>
    </row>
    <row r="215" spans="2:10" ht="25.5" x14ac:dyDescent="0.25">
      <c r="B215" s="221"/>
      <c r="C215" s="222">
        <v>3132</v>
      </c>
      <c r="D215" s="223"/>
      <c r="E215" s="94" t="s">
        <v>145</v>
      </c>
      <c r="F215" s="131"/>
      <c r="G215" s="131"/>
      <c r="H215" s="61">
        <v>1690</v>
      </c>
      <c r="I215" s="61">
        <v>1690</v>
      </c>
      <c r="J215" s="61">
        <v>1690</v>
      </c>
    </row>
    <row r="216" spans="2:10" x14ac:dyDescent="0.25">
      <c r="B216" s="135"/>
      <c r="C216" s="136">
        <v>3211</v>
      </c>
      <c r="D216" s="137"/>
      <c r="E216" s="151" t="s">
        <v>63</v>
      </c>
      <c r="F216" s="138"/>
      <c r="G216" s="138"/>
      <c r="H216" s="139">
        <v>530</v>
      </c>
      <c r="I216" s="139">
        <v>530</v>
      </c>
      <c r="J216" s="139">
        <v>530</v>
      </c>
    </row>
    <row r="217" spans="2:10" x14ac:dyDescent="0.25">
      <c r="B217" s="260"/>
      <c r="C217" s="260">
        <v>3212</v>
      </c>
      <c r="D217" s="260"/>
      <c r="E217" s="261" t="s">
        <v>64</v>
      </c>
      <c r="F217" s="127"/>
      <c r="G217" s="127"/>
      <c r="H217" s="63">
        <v>1700</v>
      </c>
      <c r="I217" s="63">
        <v>1700</v>
      </c>
      <c r="J217" s="63">
        <v>1700</v>
      </c>
    </row>
    <row r="218" spans="2:10" x14ac:dyDescent="0.25">
      <c r="B218"/>
      <c r="C218"/>
      <c r="D218"/>
      <c r="E218"/>
      <c r="F218" s="55"/>
      <c r="G218" s="55"/>
      <c r="H218"/>
      <c r="I218"/>
      <c r="J218"/>
    </row>
    <row r="219" spans="2:10" x14ac:dyDescent="0.25">
      <c r="B219" s="166"/>
      <c r="C219" s="166"/>
      <c r="D219" s="166"/>
      <c r="E219" s="167"/>
      <c r="F219" s="161"/>
      <c r="G219" s="161"/>
      <c r="H219" s="162"/>
      <c r="I219" s="162"/>
      <c r="J219" s="162"/>
    </row>
    <row r="220" spans="2:10" x14ac:dyDescent="0.25">
      <c r="B220" s="140"/>
      <c r="C220" s="141"/>
      <c r="D220" s="141"/>
      <c r="E220" s="323" t="s">
        <v>206</v>
      </c>
      <c r="F220" s="324"/>
      <c r="G220" s="324"/>
      <c r="H220" s="325" t="s">
        <v>209</v>
      </c>
      <c r="I220" s="326"/>
      <c r="J220"/>
    </row>
    <row r="221" spans="2:10" x14ac:dyDescent="0.25">
      <c r="B221" s="319"/>
      <c r="C221" s="319"/>
      <c r="D221" s="319"/>
      <c r="E221" s="323" t="s">
        <v>207</v>
      </c>
      <c r="F221" s="327"/>
      <c r="G221" s="327"/>
      <c r="H221" s="323" t="s">
        <v>210</v>
      </c>
      <c r="I221" s="328"/>
      <c r="J221"/>
    </row>
    <row r="222" spans="2:10" x14ac:dyDescent="0.25">
      <c r="B222" s="166"/>
      <c r="C222" s="166"/>
      <c r="D222" s="166"/>
      <c r="E222" s="323" t="s">
        <v>208</v>
      </c>
      <c r="F222" s="324"/>
      <c r="G222" s="324"/>
      <c r="H222" s="325"/>
      <c r="I222" s="325"/>
      <c r="J222" s="326"/>
    </row>
    <row r="223" spans="2:10" x14ac:dyDescent="0.25">
      <c r="B223" s="318"/>
      <c r="C223" s="318"/>
      <c r="D223" s="318"/>
      <c r="E223" s="167"/>
      <c r="F223" s="163"/>
      <c r="G223" s="163"/>
      <c r="H223" s="164"/>
      <c r="I223" s="164"/>
      <c r="J223" s="164"/>
    </row>
    <row r="224" spans="2:10" x14ac:dyDescent="0.25">
      <c r="B224" s="166"/>
      <c r="C224" s="166"/>
      <c r="D224" s="166"/>
      <c r="E224" s="167"/>
      <c r="F224" s="161"/>
      <c r="G224" s="161"/>
      <c r="H224" s="162"/>
      <c r="I224" s="162"/>
      <c r="J224" s="162"/>
    </row>
    <row r="225" spans="2:10" x14ac:dyDescent="0.25">
      <c r="B225" s="166"/>
      <c r="C225" s="166"/>
      <c r="D225" s="166"/>
      <c r="E225" s="167"/>
      <c r="F225" s="161"/>
      <c r="G225" s="161"/>
      <c r="H225" s="162"/>
      <c r="I225" s="162"/>
      <c r="J225" s="162"/>
    </row>
    <row r="226" spans="2:10" x14ac:dyDescent="0.25">
      <c r="B226" s="166"/>
      <c r="C226" s="166"/>
      <c r="D226" s="166"/>
      <c r="E226" s="167"/>
      <c r="F226" s="161"/>
      <c r="G226" s="161"/>
      <c r="H226" s="162"/>
      <c r="I226" s="162"/>
      <c r="J226" s="162"/>
    </row>
    <row r="227" spans="2:10" x14ac:dyDescent="0.25">
      <c r="B227" s="166"/>
      <c r="C227" s="166"/>
      <c r="D227" s="166"/>
      <c r="E227" s="167"/>
      <c r="F227" s="161"/>
      <c r="G227" s="161"/>
      <c r="H227" s="162"/>
      <c r="I227" s="162"/>
      <c r="J227" s="162"/>
    </row>
    <row r="228" spans="2:10" x14ac:dyDescent="0.25">
      <c r="B228" s="140"/>
      <c r="C228" s="141"/>
      <c r="D228" s="141"/>
      <c r="E228" s="159"/>
      <c r="F228" s="142"/>
      <c r="G228" s="142"/>
      <c r="H228" s="140"/>
      <c r="I228" s="140"/>
      <c r="J228" s="140"/>
    </row>
    <row r="229" spans="2:10" x14ac:dyDescent="0.25">
      <c r="B229" s="166"/>
      <c r="C229" s="166"/>
      <c r="D229" s="166"/>
      <c r="E229" s="167"/>
      <c r="F229" s="161"/>
      <c r="G229" s="161"/>
      <c r="H229" s="162"/>
      <c r="I229" s="162"/>
      <c r="J229" s="162"/>
    </row>
    <row r="230" spans="2:10" x14ac:dyDescent="0.25">
      <c r="B230" s="319"/>
      <c r="C230" s="319"/>
      <c r="D230" s="319"/>
      <c r="E230" s="165"/>
      <c r="F230" s="161"/>
      <c r="G230" s="161"/>
      <c r="H230" s="162"/>
      <c r="I230" s="162"/>
      <c r="J230" s="162"/>
    </row>
    <row r="231" spans="2:10" x14ac:dyDescent="0.25">
      <c r="B231" s="166"/>
      <c r="C231" s="166"/>
      <c r="D231" s="166"/>
      <c r="E231" s="167"/>
      <c r="F231" s="164"/>
      <c r="G231" s="164"/>
      <c r="H231" s="164"/>
      <c r="I231" s="164"/>
      <c r="J231" s="164"/>
    </row>
    <row r="232" spans="2:10" x14ac:dyDescent="0.25">
      <c r="B232" s="318"/>
      <c r="C232" s="318"/>
      <c r="D232" s="318"/>
      <c r="E232" s="167"/>
      <c r="F232" s="163"/>
      <c r="G232" s="163"/>
      <c r="H232" s="164"/>
      <c r="I232" s="164"/>
      <c r="J232" s="164"/>
    </row>
    <row r="233" spans="2:10" x14ac:dyDescent="0.25">
      <c r="B233" s="166"/>
      <c r="C233" s="166"/>
      <c r="D233" s="166"/>
      <c r="E233" s="167"/>
      <c r="F233" s="161"/>
      <c r="G233" s="161"/>
      <c r="H233" s="162"/>
      <c r="I233" s="162"/>
      <c r="J233" s="162"/>
    </row>
    <row r="234" spans="2:10" x14ac:dyDescent="0.25">
      <c r="B234" s="166"/>
      <c r="C234" s="166"/>
      <c r="D234" s="166"/>
      <c r="E234" s="167"/>
      <c r="F234" s="161"/>
      <c r="G234" s="161"/>
      <c r="H234" s="162"/>
      <c r="I234" s="162"/>
      <c r="J234" s="162"/>
    </row>
    <row r="235" spans="2:10" x14ac:dyDescent="0.25">
      <c r="B235" s="166"/>
      <c r="C235" s="166"/>
      <c r="D235" s="166"/>
      <c r="E235" s="167"/>
      <c r="F235" s="161"/>
      <c r="G235" s="161"/>
      <c r="H235" s="162"/>
      <c r="I235" s="162"/>
      <c r="J235" s="162"/>
    </row>
    <row r="236" spans="2:10" x14ac:dyDescent="0.25">
      <c r="B236" s="166"/>
      <c r="C236" s="166"/>
      <c r="D236" s="166"/>
      <c r="E236" s="167"/>
      <c r="F236" s="161"/>
      <c r="G236" s="161"/>
      <c r="H236" s="162"/>
      <c r="I236" s="162"/>
      <c r="J236" s="162"/>
    </row>
    <row r="237" spans="2:10" x14ac:dyDescent="0.25">
      <c r="B237" s="140"/>
      <c r="C237" s="141"/>
      <c r="D237" s="141"/>
      <c r="E237" s="140"/>
      <c r="F237" s="142"/>
      <c r="G237" s="142"/>
      <c r="H237" s="140"/>
      <c r="I237" s="140"/>
      <c r="J237" s="140"/>
    </row>
    <row r="238" spans="2:10" x14ac:dyDescent="0.25">
      <c r="B238" s="140"/>
      <c r="C238" s="141"/>
      <c r="D238" s="141"/>
      <c r="E238" s="140"/>
      <c r="F238" s="142"/>
      <c r="G238" s="142"/>
      <c r="H238" s="140"/>
      <c r="I238" s="140"/>
      <c r="J238" s="140"/>
    </row>
    <row r="239" spans="2:10" x14ac:dyDescent="0.25">
      <c r="B239" s="140"/>
      <c r="C239" s="141"/>
      <c r="D239" s="141"/>
      <c r="E239" s="140"/>
      <c r="F239" s="142"/>
      <c r="G239" s="142"/>
      <c r="H239" s="140"/>
      <c r="I239" s="140"/>
      <c r="J239" s="140"/>
    </row>
  </sheetData>
  <mergeCells count="28">
    <mergeCell ref="B207:D207"/>
    <mergeCell ref="B178:D178"/>
    <mergeCell ref="B185:D185"/>
    <mergeCell ref="B176:D176"/>
    <mergeCell ref="B195:D195"/>
    <mergeCell ref="B191:D191"/>
    <mergeCell ref="B204:D204"/>
    <mergeCell ref="B232:D232"/>
    <mergeCell ref="B221:D221"/>
    <mergeCell ref="B223:D223"/>
    <mergeCell ref="B230:D230"/>
    <mergeCell ref="B212:D212"/>
    <mergeCell ref="B1:J1"/>
    <mergeCell ref="B5:D5"/>
    <mergeCell ref="B142:D142"/>
    <mergeCell ref="B145:D145"/>
    <mergeCell ref="B149:D149"/>
    <mergeCell ref="B3:J3"/>
    <mergeCell ref="B150:D150"/>
    <mergeCell ref="B151:D151"/>
    <mergeCell ref="B152:D152"/>
    <mergeCell ref="B158:D158"/>
    <mergeCell ref="B160:D160"/>
    <mergeCell ref="B167:D167"/>
    <mergeCell ref="B168:D168"/>
    <mergeCell ref="B169:D169"/>
    <mergeCell ref="B170:D170"/>
    <mergeCell ref="B171:D17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POSEBNI DIO 2R</vt:lpstr>
      <vt:lpstr>' Račun prihoda i rashoda'!Podrucje_ispisa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Tajnik</cp:lastModifiedBy>
  <cp:lastPrinted>2023-10-04T06:32:55Z</cp:lastPrinted>
  <dcterms:created xsi:type="dcterms:W3CDTF">2022-08-12T12:51:27Z</dcterms:created>
  <dcterms:modified xsi:type="dcterms:W3CDTF">2023-10-04T06:34:21Z</dcterms:modified>
</cp:coreProperties>
</file>